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comments1.xml" ContentType="application/vnd.openxmlformats-officedocument.spreadsheetml.comments+xml"/>
  <Override PartName="/xl/threadedComments/threadedComment1.xml" ContentType="application/vnd.ms-excel.threadedcomments+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811"/>
  <workbookPr defaultThemeVersion="166925"/>
  <mc:AlternateContent xmlns:mc="http://schemas.openxmlformats.org/markup-compatibility/2006">
    <mc:Choice Requires="x15">
      <x15ac:absPath xmlns:x15ac="http://schemas.microsoft.com/office/spreadsheetml/2010/11/ac" url="/Users/shaytsaban/Downloads/"/>
    </mc:Choice>
  </mc:AlternateContent>
  <xr:revisionPtr revIDLastSave="0" documentId="13_ncr:1_{2404FCDA-A23C-084A-B147-A1656F799425}" xr6:coauthVersionLast="47" xr6:coauthVersionMax="47" xr10:uidLastSave="{00000000-0000-0000-0000-000000000000}"/>
  <bookViews>
    <workbookView xWindow="0" yWindow="500" windowWidth="50880" windowHeight="29500" firstSheet="2" activeTab="20" xr2:uid="{309056A4-3C50-4546-9E59-BAC3C8C92DA6}"/>
  </bookViews>
  <sheets>
    <sheet name="אינדקס" sheetId="15" r:id="rId1"/>
    <sheet name="1 - הרצאה" sheetId="1" r:id="rId2"/>
    <sheet name="1 - מושגים" sheetId="2" r:id="rId3"/>
    <sheet name="1 - תרגול" sheetId="14" r:id="rId4"/>
    <sheet name="2 - הרצאה" sheetId="10" r:id="rId5"/>
    <sheet name="2 - ביאורים" sheetId="16" r:id="rId6"/>
    <sheet name="2 - יונית" sheetId="17" r:id="rId7"/>
    <sheet name="2 - תרגול נוסף" sheetId="18" r:id="rId8"/>
    <sheet name="3 - הרצאה" sheetId="19" r:id="rId9"/>
    <sheet name="3 - תרגול נוסף" sheetId="4" r:id="rId10"/>
    <sheet name="4 - הרצאה" sheetId="5" r:id="rId11"/>
    <sheet name="5 - הרצאה" sheetId="20" r:id="rId12"/>
    <sheet name="5 - תרגול 1" sheetId="21" r:id="rId13"/>
    <sheet name="5 - תרגול 2" sheetId="7" r:id="rId14"/>
    <sheet name="5 - תרגול 3" sheetId="22" r:id="rId15"/>
    <sheet name="6 - הרצאה" sheetId="9" r:id="rId16"/>
    <sheet name="7 - הרצאה חדשה" sheetId="11" r:id="rId17"/>
    <sheet name="8 - הרצאה חדשה" sheetId="12" r:id="rId18"/>
    <sheet name="9 - הנסיכה התימנית" sheetId="23" r:id="rId19"/>
    <sheet name="10 + 11 חזרה לבחינה" sheetId="28" r:id="rId20"/>
    <sheet name="12 - הון עצמי" sheetId="29" r:id="rId21"/>
    <sheet name="מבנה הבחינה" sheetId="27" r:id="rId22"/>
    <sheet name="מסה נוספת לחזרה" sheetId="13" r:id="rId23"/>
    <sheet name="תרגילים נוספים קצרים לחזרה" sheetId="25" r:id="rId24"/>
    <sheet name="שרה - מסה" sheetId="24" r:id="rId25"/>
  </sheets>
  <definedNames>
    <definedName name="_xlnm.Print_Area" localSheetId="0">אינדקס!$A$9:$H$32</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G146" i="29" l="1"/>
  <c r="H146" i="29" s="1"/>
  <c r="H145" i="29"/>
  <c r="F144" i="29"/>
  <c r="E144" i="29" s="1"/>
  <c r="H141" i="29"/>
  <c r="D141" i="29"/>
  <c r="E120" i="29"/>
  <c r="D120" i="29" s="1"/>
  <c r="H119" i="29"/>
  <c r="E119" i="29"/>
  <c r="D119" i="29"/>
  <c r="H117" i="29"/>
  <c r="C117" i="29"/>
  <c r="D117" i="29" s="1"/>
  <c r="E90" i="29"/>
  <c r="F90" i="29" s="1"/>
  <c r="G89" i="29"/>
  <c r="D89" i="29"/>
  <c r="F89" i="29" s="1"/>
  <c r="E141" i="29" l="1"/>
  <c r="C118" i="29"/>
  <c r="E118" i="29" s="1"/>
  <c r="H147" i="29"/>
  <c r="D142" i="29"/>
  <c r="F142" i="29" s="1"/>
  <c r="G147" i="29"/>
  <c r="F143" i="29"/>
  <c r="E143" i="29" s="1"/>
  <c r="E147" i="29" s="1"/>
  <c r="F147" i="29" l="1"/>
  <c r="D147" i="29"/>
  <c r="C271" i="23" l="1"/>
  <c r="C52" i="23"/>
  <c r="C488" i="12"/>
  <c r="D380" i="12"/>
  <c r="D350" i="12"/>
  <c r="C124" i="12"/>
  <c r="C121" i="12"/>
  <c r="G448" i="11"/>
  <c r="G446" i="11"/>
  <c r="F446" i="11"/>
  <c r="F444" i="11"/>
  <c r="E444" i="11"/>
  <c r="D444" i="11"/>
  <c r="F443" i="11"/>
  <c r="E443" i="11"/>
  <c r="D443" i="11"/>
  <c r="E446" i="11"/>
  <c r="D446" i="11"/>
  <c r="F442" i="11"/>
  <c r="E442" i="11"/>
  <c r="D442" i="11"/>
  <c r="F417" i="11"/>
  <c r="E414" i="11"/>
  <c r="G419" i="11"/>
  <c r="G417" i="11"/>
  <c r="F415" i="11"/>
  <c r="E415" i="11"/>
  <c r="D415" i="11"/>
  <c r="F414" i="11"/>
  <c r="D414" i="11"/>
  <c r="E417" i="11"/>
  <c r="D417" i="11"/>
  <c r="D413" i="11"/>
  <c r="J412" i="11"/>
  <c r="F413" i="11"/>
  <c r="E413" i="11"/>
  <c r="E216" i="11"/>
  <c r="E217" i="11" s="1"/>
  <c r="K216" i="11" s="1"/>
  <c r="K217" i="11" s="1"/>
  <c r="E223" i="11" s="1"/>
  <c r="E199" i="11"/>
  <c r="C86" i="11"/>
  <c r="C83" i="11" s="1"/>
  <c r="G86" i="11"/>
  <c r="H86" i="11" s="1"/>
  <c r="F86" i="11"/>
  <c r="E86" i="11"/>
  <c r="D86" i="11"/>
  <c r="J87" i="11"/>
  <c r="E60" i="11"/>
  <c r="D37" i="11"/>
  <c r="E37" i="11" s="1"/>
  <c r="F37" i="11" s="1"/>
  <c r="G37" i="11" s="1"/>
  <c r="H37" i="11" s="1"/>
  <c r="C37" i="11"/>
  <c r="C34" i="11" s="1"/>
  <c r="C33" i="11"/>
  <c r="D33" i="11" s="1"/>
  <c r="D539" i="9"/>
  <c r="D536" i="9"/>
  <c r="D534" i="9"/>
  <c r="D531" i="9"/>
  <c r="J471" i="9"/>
  <c r="J470" i="9"/>
  <c r="J469" i="9"/>
  <c r="K203" i="9"/>
  <c r="J201" i="9"/>
  <c r="K201" i="9" s="1"/>
  <c r="I201" i="9"/>
  <c r="H201" i="9"/>
  <c r="H198" i="9" s="1"/>
  <c r="H197" i="9"/>
  <c r="G124" i="9"/>
  <c r="F122" i="9"/>
  <c r="G122" i="9" s="1"/>
  <c r="E122" i="9"/>
  <c r="D122" i="9"/>
  <c r="C122" i="9"/>
  <c r="B122" i="9"/>
  <c r="B119" i="9" s="1"/>
  <c r="C118" i="9"/>
  <c r="D118" i="9"/>
  <c r="E118" i="9"/>
  <c r="B118" i="9"/>
  <c r="E355" i="20"/>
  <c r="F355" i="20" s="1"/>
  <c r="E364" i="20" s="1"/>
  <c r="B356" i="20"/>
  <c r="E356" i="20" s="1"/>
  <c r="E351" i="20"/>
  <c r="E350" i="20" s="1"/>
  <c r="F350" i="20" s="1"/>
  <c r="C325" i="20"/>
  <c r="D360" i="20"/>
  <c r="E373" i="20"/>
  <c r="D379" i="20"/>
  <c r="F382" i="20"/>
  <c r="F384" i="20"/>
  <c r="B419" i="20"/>
  <c r="E419" i="20" s="1"/>
  <c r="D422" i="20"/>
  <c r="E423" i="20"/>
  <c r="E432" i="20" s="1"/>
  <c r="C174" i="20"/>
  <c r="D155" i="20"/>
  <c r="I220" i="19"/>
  <c r="I215" i="19"/>
  <c r="I196" i="19"/>
  <c r="I191" i="19"/>
  <c r="D34" i="11" l="1"/>
  <c r="E34" i="11" s="1"/>
  <c r="F34" i="11" s="1"/>
  <c r="D83" i="11"/>
  <c r="C84" i="11"/>
  <c r="G34" i="11"/>
  <c r="E33" i="11"/>
  <c r="D35" i="11"/>
  <c r="C35" i="11"/>
  <c r="I198" i="9"/>
  <c r="J198" i="9"/>
  <c r="H199" i="9"/>
  <c r="B120" i="9"/>
  <c r="C119" i="9"/>
  <c r="D119" i="9" s="1"/>
  <c r="E119" i="9" s="1"/>
  <c r="F119" i="9" s="1"/>
  <c r="F118" i="9"/>
  <c r="F120" i="9" s="1"/>
  <c r="I197" i="9"/>
  <c r="C432" i="20"/>
  <c r="F423" i="20"/>
  <c r="F424" i="20" s="1"/>
  <c r="B429" i="20"/>
  <c r="E418" i="20"/>
  <c r="B424" i="20"/>
  <c r="B428" i="20"/>
  <c r="B430" i="20" s="1"/>
  <c r="C280" i="10"/>
  <c r="C279" i="10"/>
  <c r="C278" i="10"/>
  <c r="E273" i="10"/>
  <c r="D273" i="10"/>
  <c r="E269" i="10"/>
  <c r="E268" i="10"/>
  <c r="E270" i="10"/>
  <c r="D267" i="10"/>
  <c r="E265" i="10"/>
  <c r="E264" i="10"/>
  <c r="E263" i="10"/>
  <c r="D262" i="10"/>
  <c r="E174" i="1"/>
  <c r="E173" i="1"/>
  <c r="G185" i="1"/>
  <c r="G186" i="1"/>
  <c r="G184" i="1"/>
  <c r="G183" i="1"/>
  <c r="G182" i="1"/>
  <c r="G181" i="1"/>
  <c r="G180" i="1"/>
  <c r="G179" i="1"/>
  <c r="F178" i="1"/>
  <c r="F177" i="1"/>
  <c r="F176" i="1"/>
  <c r="F175" i="1"/>
  <c r="C170" i="1"/>
  <c r="C169" i="1"/>
  <c r="C168" i="1"/>
  <c r="C167" i="1"/>
  <c r="C166" i="1"/>
  <c r="D172" i="1"/>
  <c r="D171" i="1"/>
  <c r="D165" i="1"/>
  <c r="D164" i="1"/>
  <c r="C163" i="1"/>
  <c r="C162" i="1"/>
  <c r="C161" i="1"/>
  <c r="C160" i="1"/>
  <c r="C142" i="1"/>
  <c r="D83" i="1"/>
  <c r="D82" i="1"/>
  <c r="D81" i="1"/>
  <c r="D80" i="1"/>
  <c r="D84" i="11" l="1"/>
  <c r="E83" i="11"/>
  <c r="F33" i="11"/>
  <c r="E35" i="11"/>
  <c r="D120" i="9"/>
  <c r="I199" i="9"/>
  <c r="J197" i="9"/>
  <c r="J199" i="9" s="1"/>
  <c r="C120" i="9"/>
  <c r="E120" i="9"/>
  <c r="C428" i="20"/>
  <c r="E424" i="20"/>
  <c r="C429" i="20" s="1"/>
  <c r="E361" i="20"/>
  <c r="E360" i="20"/>
  <c r="D364" i="20"/>
  <c r="D361" i="20"/>
  <c r="D362" i="20" s="1"/>
  <c r="F418" i="20"/>
  <c r="F419" i="20" s="1"/>
  <c r="B432" i="20"/>
  <c r="B311" i="23"/>
  <c r="B317" i="23"/>
  <c r="B314" i="23"/>
  <c r="F83" i="11" l="1"/>
  <c r="E84" i="11"/>
  <c r="F35" i="11"/>
  <c r="G33" i="11"/>
  <c r="G35" i="11" s="1"/>
  <c r="H39" i="11" s="1"/>
  <c r="E362" i="20"/>
  <c r="C430" i="20"/>
  <c r="F290" i="23"/>
  <c r="G298" i="23"/>
  <c r="B605" i="12"/>
  <c r="C574" i="12" s="1"/>
  <c r="G575" i="12" s="1"/>
  <c r="B597" i="12"/>
  <c r="C562" i="12" s="1"/>
  <c r="G573" i="12"/>
  <c r="G572" i="12"/>
  <c r="G571" i="12"/>
  <c r="G570" i="12"/>
  <c r="G569" i="12"/>
  <c r="F568" i="12"/>
  <c r="G567" i="12"/>
  <c r="D566" i="12"/>
  <c r="C565" i="12"/>
  <c r="C564" i="12"/>
  <c r="F563" i="12"/>
  <c r="C561" i="12"/>
  <c r="G559" i="12"/>
  <c r="G558" i="12"/>
  <c r="E557" i="12"/>
  <c r="D556" i="12"/>
  <c r="D555" i="12"/>
  <c r="D554" i="12"/>
  <c r="D576" i="12" s="1"/>
  <c r="C553" i="12"/>
  <c r="F552" i="12"/>
  <c r="C551" i="12"/>
  <c r="C550" i="12"/>
  <c r="G549" i="12"/>
  <c r="C548" i="12"/>
  <c r="C386" i="12"/>
  <c r="E323" i="12"/>
  <c r="F199" i="12"/>
  <c r="F139" i="12"/>
  <c r="F138" i="12"/>
  <c r="G137" i="12"/>
  <c r="G136" i="12"/>
  <c r="G135" i="12"/>
  <c r="G134" i="12"/>
  <c r="G133" i="12"/>
  <c r="G132" i="12"/>
  <c r="F131" i="12"/>
  <c r="G130" i="12"/>
  <c r="C129" i="12"/>
  <c r="C128" i="12"/>
  <c r="C127" i="12"/>
  <c r="F126" i="12"/>
  <c r="G125" i="12"/>
  <c r="E319" i="12"/>
  <c r="G120" i="12"/>
  <c r="E119" i="12"/>
  <c r="D118" i="12"/>
  <c r="D117" i="12"/>
  <c r="D116" i="12"/>
  <c r="C115" i="12"/>
  <c r="F114" i="12"/>
  <c r="C113" i="12"/>
  <c r="C112" i="12"/>
  <c r="E221" i="11"/>
  <c r="E196" i="11"/>
  <c r="E200" i="11" s="1"/>
  <c r="C160" i="11"/>
  <c r="C161" i="11" s="1"/>
  <c r="C162" i="11" s="1"/>
  <c r="C163" i="11" s="1"/>
  <c r="B160" i="11"/>
  <c r="B161" i="11" s="1"/>
  <c r="C156" i="11"/>
  <c r="D156" i="11"/>
  <c r="E156" i="11"/>
  <c r="F156" i="11"/>
  <c r="B156" i="11"/>
  <c r="C134" i="11"/>
  <c r="D134" i="11" s="1"/>
  <c r="D128" i="11"/>
  <c r="F138" i="11" s="1"/>
  <c r="G138" i="11" s="1"/>
  <c r="D124" i="11"/>
  <c r="E138" i="11" s="1"/>
  <c r="D122" i="11"/>
  <c r="D138" i="11" s="1"/>
  <c r="D120" i="11"/>
  <c r="C138" i="11" s="1"/>
  <c r="D114" i="11"/>
  <c r="B135" i="11" s="1"/>
  <c r="A101" i="11"/>
  <c r="C65" i="11"/>
  <c r="F69" i="11"/>
  <c r="G69" i="11" s="1"/>
  <c r="E59" i="11"/>
  <c r="E69" i="11" s="1"/>
  <c r="E58" i="11"/>
  <c r="D69" i="11" s="1"/>
  <c r="E57" i="11"/>
  <c r="C69" i="11" s="1"/>
  <c r="E56" i="11"/>
  <c r="B69" i="11" s="1"/>
  <c r="D48" i="11"/>
  <c r="F84" i="11" l="1"/>
  <c r="G83" i="11"/>
  <c r="G84" i="11" s="1"/>
  <c r="F576" i="12"/>
  <c r="C576" i="12"/>
  <c r="G576" i="12"/>
  <c r="C142" i="12"/>
  <c r="G142" i="12"/>
  <c r="F142" i="12"/>
  <c r="D142" i="12"/>
  <c r="E203" i="11"/>
  <c r="F160" i="11"/>
  <c r="F161" i="11"/>
  <c r="B162" i="11"/>
  <c r="B136" i="11"/>
  <c r="C135" i="11"/>
  <c r="D135" i="11" s="1"/>
  <c r="E135" i="11" s="1"/>
  <c r="F135" i="11" s="1"/>
  <c r="B138" i="11"/>
  <c r="E134" i="11"/>
  <c r="B66" i="11"/>
  <c r="C66" i="11" s="1"/>
  <c r="D66" i="11" s="1"/>
  <c r="E66" i="11" s="1"/>
  <c r="F66" i="11" s="1"/>
  <c r="D65" i="11"/>
  <c r="C507" i="9"/>
  <c r="E487" i="9" s="1"/>
  <c r="C504" i="9"/>
  <c r="D487" i="9" s="1"/>
  <c r="C502" i="9"/>
  <c r="C487" i="9" s="1"/>
  <c r="C484" i="9" s="1"/>
  <c r="D483" i="9"/>
  <c r="E483" i="9" s="1"/>
  <c r="C450" i="9"/>
  <c r="E420" i="9" s="1"/>
  <c r="C448" i="9"/>
  <c r="D420" i="9" s="1"/>
  <c r="C446" i="9"/>
  <c r="C420" i="9" s="1"/>
  <c r="C444" i="9"/>
  <c r="B420" i="9" s="1"/>
  <c r="B417" i="9" s="1"/>
  <c r="D413" i="9"/>
  <c r="B416" i="9" s="1"/>
  <c r="C416" i="9" s="1"/>
  <c r="D416" i="9" s="1"/>
  <c r="E416" i="9" s="1"/>
  <c r="H101" i="9"/>
  <c r="H282" i="20"/>
  <c r="H281" i="20"/>
  <c r="E288" i="20"/>
  <c r="E287" i="20"/>
  <c r="H247" i="20"/>
  <c r="H246" i="20"/>
  <c r="H245" i="20"/>
  <c r="H244" i="20"/>
  <c r="C244" i="20"/>
  <c r="C245" i="20"/>
  <c r="C246" i="20"/>
  <c r="C247" i="20"/>
  <c r="C248" i="20"/>
  <c r="C243" i="20"/>
  <c r="C228" i="20"/>
  <c r="B228" i="20"/>
  <c r="E199" i="20"/>
  <c r="E120" i="19"/>
  <c r="G69" i="19"/>
  <c r="H76" i="19"/>
  <c r="H75" i="19"/>
  <c r="H74" i="19"/>
  <c r="H73" i="19"/>
  <c r="E118" i="16"/>
  <c r="E116" i="16"/>
  <c r="E119" i="16" s="1"/>
  <c r="D117" i="16"/>
  <c r="D118" i="16"/>
  <c r="D116" i="16"/>
  <c r="E95" i="16"/>
  <c r="Q218" i="10"/>
  <c r="Q217" i="10"/>
  <c r="Q216" i="10"/>
  <c r="Q215" i="10"/>
  <c r="R214" i="10"/>
  <c r="P213" i="10"/>
  <c r="P212" i="10"/>
  <c r="Q210" i="10"/>
  <c r="P209" i="10"/>
  <c r="P208" i="10"/>
  <c r="P202" i="10"/>
  <c r="P200" i="10"/>
  <c r="P189" i="10"/>
  <c r="P188" i="10"/>
  <c r="H140" i="1"/>
  <c r="H135" i="1"/>
  <c r="G228" i="24"/>
  <c r="G231" i="24"/>
  <c r="G232" i="24" s="1"/>
  <c r="B214" i="24"/>
  <c r="B212" i="24"/>
  <c r="B210" i="24"/>
  <c r="B208" i="24"/>
  <c r="B209" i="24" s="1"/>
  <c r="G23" i="24"/>
  <c r="B200" i="24"/>
  <c r="B199" i="24"/>
  <c r="B182" i="24"/>
  <c r="B184" i="24" s="1"/>
  <c r="B185" i="24" s="1"/>
  <c r="B189" i="24" s="1"/>
  <c r="C36" i="24" s="1"/>
  <c r="D32" i="24"/>
  <c r="B166" i="24"/>
  <c r="B160" i="24"/>
  <c r="B165" i="24" s="1"/>
  <c r="B158" i="24"/>
  <c r="B145" i="24"/>
  <c r="B146" i="24" s="1"/>
  <c r="B152" i="24" s="1"/>
  <c r="B151" i="24" s="1"/>
  <c r="B157" i="24" s="1"/>
  <c r="B163" i="24" s="1"/>
  <c r="C135" i="24"/>
  <c r="C134" i="24"/>
  <c r="C133" i="24"/>
  <c r="B124" i="24"/>
  <c r="C30" i="24"/>
  <c r="G31" i="24" s="1"/>
  <c r="G32" i="24" s="1"/>
  <c r="D76" i="24"/>
  <c r="D65" i="24"/>
  <c r="G29" i="24"/>
  <c r="G28" i="24"/>
  <c r="G27" i="24"/>
  <c r="G26" i="24"/>
  <c r="G25" i="24"/>
  <c r="F24" i="24"/>
  <c r="D22" i="24"/>
  <c r="C21" i="24"/>
  <c r="B234" i="24" s="1"/>
  <c r="C20" i="24"/>
  <c r="F19" i="24"/>
  <c r="B215" i="24" s="1"/>
  <c r="G15" i="24"/>
  <c r="G14" i="24"/>
  <c r="E13" i="24"/>
  <c r="G235" i="24" s="1"/>
  <c r="D12" i="24"/>
  <c r="G225" i="24" s="1"/>
  <c r="D10" i="24"/>
  <c r="G226" i="24" s="1"/>
  <c r="C9" i="24"/>
  <c r="B227" i="24" s="1"/>
  <c r="F8" i="24"/>
  <c r="F32" i="24" s="1"/>
  <c r="C7" i="24"/>
  <c r="B225" i="24" s="1"/>
  <c r="C6" i="24"/>
  <c r="B226" i="24" s="1"/>
  <c r="D489" i="9" l="1"/>
  <c r="C485" i="9"/>
  <c r="D484" i="9"/>
  <c r="E484" i="9" s="1"/>
  <c r="E485" i="9" s="1"/>
  <c r="E289" i="20"/>
  <c r="Q219" i="10"/>
  <c r="P219" i="10"/>
  <c r="H142" i="1"/>
  <c r="E589" i="12"/>
  <c r="E204" i="11"/>
  <c r="E210" i="11"/>
  <c r="E211" i="11" s="1"/>
  <c r="C136" i="11"/>
  <c r="B163" i="11"/>
  <c r="F163" i="11" s="1"/>
  <c r="F162" i="11"/>
  <c r="B67" i="11"/>
  <c r="D136" i="11"/>
  <c r="C67" i="11"/>
  <c r="E136" i="11"/>
  <c r="F134" i="11"/>
  <c r="F136" i="11" s="1"/>
  <c r="D146" i="11" s="1"/>
  <c r="F149" i="11" s="1"/>
  <c r="E65" i="11"/>
  <c r="D67" i="11"/>
  <c r="C417" i="9"/>
  <c r="D417" i="9" s="1"/>
  <c r="E417" i="9" s="1"/>
  <c r="E418" i="9" s="1"/>
  <c r="B418" i="9"/>
  <c r="H77" i="19"/>
  <c r="G68" i="19" s="1"/>
  <c r="F116" i="16"/>
  <c r="F118" i="16"/>
  <c r="D119" i="16"/>
  <c r="F117" i="16"/>
  <c r="B228" i="24"/>
  <c r="B229" i="24" s="1"/>
  <c r="G34" i="24"/>
  <c r="B211" i="24" s="1"/>
  <c r="B233" i="24"/>
  <c r="B235" i="24" s="1"/>
  <c r="B242" i="24" s="1"/>
  <c r="G242" i="24" s="1"/>
  <c r="B188" i="24"/>
  <c r="B159" i="24"/>
  <c r="B213" i="24"/>
  <c r="B216" i="24" s="1"/>
  <c r="C32" i="24"/>
  <c r="C136" i="24"/>
  <c r="B138" i="24" s="1"/>
  <c r="B139" i="24" s="1"/>
  <c r="E32" i="24"/>
  <c r="G356" i="23"/>
  <c r="H347" i="23" s="1"/>
  <c r="H348" i="23" s="1"/>
  <c r="H341" i="23"/>
  <c r="H336" i="23"/>
  <c r="D342" i="23"/>
  <c r="D344" i="23" s="1"/>
  <c r="D334" i="23"/>
  <c r="D338" i="23" s="1"/>
  <c r="B315" i="23"/>
  <c r="B327" i="23"/>
  <c r="B312" i="23" s="1"/>
  <c r="B309" i="23"/>
  <c r="B308" i="23"/>
  <c r="E302" i="23"/>
  <c r="D302" i="23"/>
  <c r="B316" i="23"/>
  <c r="B263" i="23"/>
  <c r="C299" i="23"/>
  <c r="C302" i="23"/>
  <c r="F244" i="23"/>
  <c r="B251" i="23" s="1"/>
  <c r="B229" i="23"/>
  <c r="F242" i="23" s="1"/>
  <c r="B207" i="23"/>
  <c r="B218" i="23" s="1"/>
  <c r="B219" i="23" s="1"/>
  <c r="B187" i="23"/>
  <c r="B194" i="23" s="1"/>
  <c r="G302" i="23" s="1"/>
  <c r="D135" i="23"/>
  <c r="E50" i="23" s="1"/>
  <c r="B93" i="23"/>
  <c r="B208" i="23" s="1"/>
  <c r="G63" i="23"/>
  <c r="G62" i="23"/>
  <c r="G61" i="23"/>
  <c r="G60" i="23"/>
  <c r="G59" i="23"/>
  <c r="F58" i="23"/>
  <c r="G57" i="23"/>
  <c r="D56" i="23"/>
  <c r="C55" i="23"/>
  <c r="C54" i="23"/>
  <c r="F53" i="23"/>
  <c r="C51" i="23"/>
  <c r="G49" i="23"/>
  <c r="G48" i="23"/>
  <c r="E47" i="23"/>
  <c r="D46" i="23"/>
  <c r="C45" i="23"/>
  <c r="D44" i="23"/>
  <c r="F43" i="23"/>
  <c r="C42" i="23"/>
  <c r="C41" i="23"/>
  <c r="G40" i="23"/>
  <c r="C39" i="23"/>
  <c r="F387" i="12"/>
  <c r="C397" i="12"/>
  <c r="G279" i="12"/>
  <c r="D281" i="12"/>
  <c r="D278" i="9"/>
  <c r="E278" i="9" s="1"/>
  <c r="H282" i="9"/>
  <c r="E304" i="9"/>
  <c r="D282" i="9" s="1"/>
  <c r="E307" i="9"/>
  <c r="E315" i="9"/>
  <c r="H284" i="9" s="1"/>
  <c r="D339" i="9"/>
  <c r="D349" i="9" s="1"/>
  <c r="D343" i="9"/>
  <c r="D340" i="9" s="1"/>
  <c r="E340" i="9" s="1"/>
  <c r="D358" i="9"/>
  <c r="E377" i="9"/>
  <c r="J68" i="22"/>
  <c r="J67" i="22"/>
  <c r="J66" i="22"/>
  <c r="H64" i="22"/>
  <c r="H63" i="22"/>
  <c r="H62" i="22"/>
  <c r="L50" i="22"/>
  <c r="K50" i="22"/>
  <c r="K51" i="22"/>
  <c r="H51" i="22"/>
  <c r="J60" i="22"/>
  <c r="J48" i="22"/>
  <c r="I41" i="22"/>
  <c r="L6" i="22"/>
  <c r="J5" i="22"/>
  <c r="I15" i="22"/>
  <c r="I17" i="22" s="1"/>
  <c r="H7" i="22" s="1"/>
  <c r="K7" i="22" s="1"/>
  <c r="L90" i="21"/>
  <c r="L88" i="21"/>
  <c r="L63" i="21"/>
  <c r="L61" i="21"/>
  <c r="B9" i="21"/>
  <c r="B12" i="21" s="1"/>
  <c r="C68" i="20"/>
  <c r="D68" i="20"/>
  <c r="C30" i="20"/>
  <c r="D30" i="20"/>
  <c r="D203" i="5"/>
  <c r="D200" i="5"/>
  <c r="D198" i="5"/>
  <c r="D195" i="5"/>
  <c r="D193" i="5"/>
  <c r="F200" i="5"/>
  <c r="F198" i="5"/>
  <c r="F195" i="5"/>
  <c r="F193" i="5"/>
  <c r="C200" i="5"/>
  <c r="C201" i="5" s="1"/>
  <c r="C195" i="5"/>
  <c r="C196" i="5" s="1"/>
  <c r="C193" i="5"/>
  <c r="C194" i="5" s="1"/>
  <c r="A195" i="5"/>
  <c r="A198" i="5"/>
  <c r="A200" i="5"/>
  <c r="A203" i="5"/>
  <c r="A193" i="5"/>
  <c r="D189" i="5"/>
  <c r="C203" i="5" s="1"/>
  <c r="C204" i="5" s="1"/>
  <c r="D168" i="5"/>
  <c r="J119" i="19"/>
  <c r="L122" i="19"/>
  <c r="H122" i="19" s="1"/>
  <c r="G116" i="19"/>
  <c r="F115" i="19"/>
  <c r="I114" i="19"/>
  <c r="C70" i="19"/>
  <c r="C73" i="19" s="1"/>
  <c r="G67" i="19"/>
  <c r="C39" i="19"/>
  <c r="F101" i="18"/>
  <c r="G100" i="18"/>
  <c r="C99" i="18"/>
  <c r="G99" i="18" s="1"/>
  <c r="G98" i="18"/>
  <c r="F97" i="18"/>
  <c r="G96" i="18"/>
  <c r="F95" i="18"/>
  <c r="G94" i="18"/>
  <c r="G93" i="18"/>
  <c r="G92" i="18"/>
  <c r="G91" i="18"/>
  <c r="G90" i="18"/>
  <c r="G89" i="18"/>
  <c r="G88" i="18"/>
  <c r="G87" i="18"/>
  <c r="F86" i="18"/>
  <c r="C85" i="18"/>
  <c r="C84" i="18"/>
  <c r="C83" i="18"/>
  <c r="E82" i="18"/>
  <c r="C81" i="18"/>
  <c r="C80" i="18"/>
  <c r="D79" i="18"/>
  <c r="D78" i="18"/>
  <c r="D77" i="18"/>
  <c r="C76" i="18"/>
  <c r="C75" i="18"/>
  <c r="E74" i="18"/>
  <c r="G63" i="18"/>
  <c r="F73" i="18"/>
  <c r="G72" i="18"/>
  <c r="C71" i="18"/>
  <c r="G70" i="18"/>
  <c r="D69" i="18"/>
  <c r="C68" i="18"/>
  <c r="G67" i="18"/>
  <c r="D66" i="18"/>
  <c r="C65" i="18"/>
  <c r="C64" i="18"/>
  <c r="C62" i="18"/>
  <c r="C61" i="18"/>
  <c r="E35" i="17"/>
  <c r="C19" i="17"/>
  <c r="C18" i="17"/>
  <c r="C23" i="17" s="1"/>
  <c r="G199" i="10"/>
  <c r="D138" i="16"/>
  <c r="G189" i="10" s="1"/>
  <c r="G193" i="10" s="1"/>
  <c r="D130" i="16"/>
  <c r="D106" i="16"/>
  <c r="D62" i="16"/>
  <c r="D44" i="16"/>
  <c r="D175" i="10" s="1"/>
  <c r="E23" i="16"/>
  <c r="E22" i="16"/>
  <c r="E21" i="16"/>
  <c r="E167" i="10"/>
  <c r="F145" i="10"/>
  <c r="F144" i="10"/>
  <c r="F143" i="10"/>
  <c r="G196" i="10" s="1"/>
  <c r="F142" i="10"/>
  <c r="G141" i="10"/>
  <c r="E140" i="10"/>
  <c r="C198" i="10" s="1"/>
  <c r="C200" i="10" s="1"/>
  <c r="E139" i="10"/>
  <c r="I138" i="10"/>
  <c r="D172" i="10" s="1"/>
  <c r="F137" i="10"/>
  <c r="E136" i="10"/>
  <c r="E135" i="10"/>
  <c r="H134" i="10"/>
  <c r="D171" i="10" s="1"/>
  <c r="I133" i="10"/>
  <c r="I132" i="10"/>
  <c r="D32" i="16" s="1"/>
  <c r="I131" i="10"/>
  <c r="D31" i="16" s="1"/>
  <c r="I130" i="10"/>
  <c r="E129" i="10"/>
  <c r="I128" i="10"/>
  <c r="E127" i="10"/>
  <c r="I125" i="10"/>
  <c r="H124" i="10"/>
  <c r="I123" i="10"/>
  <c r="H122" i="10"/>
  <c r="I121" i="10"/>
  <c r="I120" i="10"/>
  <c r="D30" i="16" s="1"/>
  <c r="I119" i="10"/>
  <c r="D29" i="16" s="1"/>
  <c r="I118" i="10"/>
  <c r="I117" i="10"/>
  <c r="E116" i="10"/>
  <c r="E115" i="10"/>
  <c r="A20" i="15"/>
  <c r="A23" i="15" s="1"/>
  <c r="A25" i="15" s="1"/>
  <c r="A26" i="15" s="1"/>
  <c r="A27" i="15" s="1"/>
  <c r="A28" i="15" s="1"/>
  <c r="A29" i="15" s="1"/>
  <c r="A30" i="15" s="1"/>
  <c r="A31" i="15" s="1"/>
  <c r="A32" i="15" s="1"/>
  <c r="F79" i="14"/>
  <c r="G78" i="14"/>
  <c r="G77" i="14"/>
  <c r="F76" i="14"/>
  <c r="F75" i="14"/>
  <c r="G74" i="14"/>
  <c r="G73" i="14"/>
  <c r="G72" i="14"/>
  <c r="G71" i="14"/>
  <c r="G70" i="14"/>
  <c r="G69" i="14"/>
  <c r="G68" i="14"/>
  <c r="C67" i="14"/>
  <c r="C66" i="14"/>
  <c r="C65" i="14"/>
  <c r="E64" i="14"/>
  <c r="C63" i="14"/>
  <c r="D62" i="14"/>
  <c r="D61" i="14"/>
  <c r="D60" i="14"/>
  <c r="C59" i="14"/>
  <c r="C58" i="14"/>
  <c r="E57" i="14"/>
  <c r="G56" i="14"/>
  <c r="C55" i="14"/>
  <c r="G54" i="14"/>
  <c r="D53" i="14"/>
  <c r="C52" i="14"/>
  <c r="D51" i="14"/>
  <c r="C50" i="14"/>
  <c r="C49" i="14"/>
  <c r="C48" i="14"/>
  <c r="C47" i="14"/>
  <c r="P293" i="13"/>
  <c r="P285" i="13"/>
  <c r="P284" i="13"/>
  <c r="P283" i="13"/>
  <c r="P277" i="13"/>
  <c r="P276" i="13"/>
  <c r="P275" i="13"/>
  <c r="L277" i="13"/>
  <c r="L286" i="13"/>
  <c r="L280" i="13"/>
  <c r="L293" i="13" s="1"/>
  <c r="L285" i="13"/>
  <c r="L284" i="13"/>
  <c r="L283" i="13"/>
  <c r="L279" i="13"/>
  <c r="L278" i="13"/>
  <c r="L276" i="13"/>
  <c r="L275" i="13"/>
  <c r="L265" i="13"/>
  <c r="L268" i="13" s="1"/>
  <c r="L264" i="13"/>
  <c r="L267" i="13"/>
  <c r="L266" i="13"/>
  <c r="L263" i="13"/>
  <c r="L262" i="13"/>
  <c r="L260" i="13"/>
  <c r="L259" i="13"/>
  <c r="G295" i="13"/>
  <c r="F295" i="13"/>
  <c r="E295" i="13"/>
  <c r="D295" i="13"/>
  <c r="C295" i="13"/>
  <c r="F294" i="13"/>
  <c r="C291" i="13"/>
  <c r="C275" i="13"/>
  <c r="C261" i="13"/>
  <c r="D237" i="13"/>
  <c r="D228" i="13"/>
  <c r="D231" i="13" s="1"/>
  <c r="D230" i="13" s="1"/>
  <c r="D234" i="13" s="1"/>
  <c r="D226" i="13"/>
  <c r="D236" i="13" s="1"/>
  <c r="F216" i="13"/>
  <c r="D218" i="13" s="1"/>
  <c r="D195" i="13"/>
  <c r="D196" i="13" s="1"/>
  <c r="D203" i="13" s="1"/>
  <c r="D204" i="13" s="1"/>
  <c r="G259" i="13"/>
  <c r="F158" i="13"/>
  <c r="E139" i="13"/>
  <c r="E141" i="13" s="1"/>
  <c r="H124" i="13"/>
  <c r="H125" i="13"/>
  <c r="F111" i="13"/>
  <c r="C34" i="13" s="1"/>
  <c r="D27" i="13"/>
  <c r="F48" i="13"/>
  <c r="F47" i="13"/>
  <c r="G46" i="13"/>
  <c r="G45" i="13"/>
  <c r="G44" i="13"/>
  <c r="G43" i="13"/>
  <c r="G42" i="13"/>
  <c r="F41" i="13"/>
  <c r="G40" i="13"/>
  <c r="C39" i="13"/>
  <c r="C38" i="13"/>
  <c r="C37" i="13"/>
  <c r="F36" i="13"/>
  <c r="G35" i="13"/>
  <c r="C33" i="13"/>
  <c r="G31" i="13"/>
  <c r="G30" i="13"/>
  <c r="E29" i="13"/>
  <c r="D28" i="13"/>
  <c r="D26" i="13"/>
  <c r="C25" i="13"/>
  <c r="F24" i="13"/>
  <c r="C23" i="13"/>
  <c r="C22" i="13"/>
  <c r="G21" i="13"/>
  <c r="C20" i="13"/>
  <c r="J485" i="12"/>
  <c r="J487" i="12" s="1"/>
  <c r="C490" i="12"/>
  <c r="C489" i="12"/>
  <c r="G527" i="12"/>
  <c r="C486" i="12" s="1"/>
  <c r="D518" i="12"/>
  <c r="C485" i="12" s="1"/>
  <c r="D504" i="12"/>
  <c r="D505" i="12"/>
  <c r="D499" i="12"/>
  <c r="C482" i="12" s="1"/>
  <c r="E477" i="12"/>
  <c r="G437" i="12" s="1"/>
  <c r="G438" i="12" s="1"/>
  <c r="G433" i="12"/>
  <c r="G426" i="12"/>
  <c r="G427" i="12"/>
  <c r="G425" i="12"/>
  <c r="D452" i="12"/>
  <c r="C432" i="12" s="1"/>
  <c r="C429" i="12"/>
  <c r="C441" i="12" s="1"/>
  <c r="G441" i="12" s="1"/>
  <c r="G406" i="12"/>
  <c r="D229" i="12"/>
  <c r="D215" i="12"/>
  <c r="D203" i="12"/>
  <c r="E163" i="12"/>
  <c r="C388" i="11"/>
  <c r="C391" i="11" s="1"/>
  <c r="C392" i="11" s="1"/>
  <c r="G370" i="11"/>
  <c r="H370" i="11" s="1"/>
  <c r="F370" i="11"/>
  <c r="E370" i="11"/>
  <c r="D370" i="11"/>
  <c r="D367" i="11" s="1"/>
  <c r="D368" i="11" s="1"/>
  <c r="B362" i="11"/>
  <c r="E366" i="11"/>
  <c r="D262" i="11"/>
  <c r="D263" i="11" s="1"/>
  <c r="H265" i="11"/>
  <c r="E261" i="11"/>
  <c r="F261" i="11" s="1"/>
  <c r="G261" i="11" s="1"/>
  <c r="E250" i="9"/>
  <c r="E219" i="9"/>
  <c r="D217" i="9"/>
  <c r="E217" i="9" s="1"/>
  <c r="B217" i="9"/>
  <c r="B214" i="9" s="1"/>
  <c r="C217" i="9"/>
  <c r="B213" i="9"/>
  <c r="C213" i="9" s="1"/>
  <c r="H134" i="9"/>
  <c r="E87" i="9"/>
  <c r="C87" i="9"/>
  <c r="D86" i="9"/>
  <c r="D87" i="9" s="1"/>
  <c r="F236" i="7"/>
  <c r="D235" i="7"/>
  <c r="E237" i="7"/>
  <c r="E232" i="7"/>
  <c r="F204" i="7"/>
  <c r="E205" i="7"/>
  <c r="D203" i="7"/>
  <c r="E200" i="7"/>
  <c r="E169" i="7"/>
  <c r="D178" i="7"/>
  <c r="F174" i="7"/>
  <c r="F173" i="7"/>
  <c r="E174" i="7"/>
  <c r="B174" i="7"/>
  <c r="D179" i="7"/>
  <c r="D180" i="7" s="1"/>
  <c r="D144" i="7"/>
  <c r="D143" i="7"/>
  <c r="F138" i="7"/>
  <c r="F137" i="7"/>
  <c r="E138" i="7"/>
  <c r="B138" i="7"/>
  <c r="D136" i="7"/>
  <c r="E133" i="7"/>
  <c r="D113" i="7"/>
  <c r="E115" i="7" s="1"/>
  <c r="D103" i="7"/>
  <c r="I102" i="7" s="1"/>
  <c r="I81" i="7"/>
  <c r="D91" i="7"/>
  <c r="I78" i="7"/>
  <c r="F59" i="7"/>
  <c r="E222" i="11" l="1"/>
  <c r="D485" i="9"/>
  <c r="G203" i="10"/>
  <c r="F146" i="10"/>
  <c r="H146" i="10"/>
  <c r="I146" i="10"/>
  <c r="E146" i="10"/>
  <c r="D350" i="23"/>
  <c r="H350" i="23" s="1"/>
  <c r="F302" i="23"/>
  <c r="B310" i="23"/>
  <c r="B319" i="23" s="1"/>
  <c r="G428" i="12"/>
  <c r="F65" i="11"/>
  <c r="F67" i="11" s="1"/>
  <c r="G71" i="11" s="1"/>
  <c r="E67" i="11"/>
  <c r="C418" i="9"/>
  <c r="D418" i="9"/>
  <c r="H138" i="9"/>
  <c r="C214" i="9"/>
  <c r="D214" i="9" s="1"/>
  <c r="G70" i="19"/>
  <c r="C74" i="19" s="1"/>
  <c r="C75" i="19" s="1"/>
  <c r="F119" i="16"/>
  <c r="G236" i="24"/>
  <c r="G237" i="24" s="1"/>
  <c r="B228" i="23"/>
  <c r="B230" i="23" s="1"/>
  <c r="B237" i="23" s="1"/>
  <c r="B236" i="23" s="1"/>
  <c r="F243" i="23" s="1"/>
  <c r="B250" i="23" s="1"/>
  <c r="B195" i="23"/>
  <c r="D66" i="23"/>
  <c r="F66" i="23"/>
  <c r="C66" i="23"/>
  <c r="G66" i="23"/>
  <c r="D510" i="12"/>
  <c r="C483" i="12" s="1"/>
  <c r="C484" i="12" s="1"/>
  <c r="C491" i="12" s="1"/>
  <c r="E339" i="9"/>
  <c r="F339" i="9" s="1"/>
  <c r="G339" i="9" s="1"/>
  <c r="F340" i="9"/>
  <c r="D279" i="9"/>
  <c r="E279" i="9" s="1"/>
  <c r="F279" i="9" s="1"/>
  <c r="G279" i="9" s="1"/>
  <c r="D294" i="9"/>
  <c r="F278" i="9"/>
  <c r="B215" i="9"/>
  <c r="D341" i="9"/>
  <c r="F203" i="5"/>
  <c r="C189" i="10"/>
  <c r="C190" i="10"/>
  <c r="C194" i="10" s="1"/>
  <c r="C203" i="10" s="1"/>
  <c r="D173" i="10"/>
  <c r="D33" i="16"/>
  <c r="D174" i="10" s="1"/>
  <c r="E24" i="16"/>
  <c r="L261" i="13"/>
  <c r="G290" i="13"/>
  <c r="D219" i="13"/>
  <c r="C272" i="13"/>
  <c r="G289" i="13"/>
  <c r="H126" i="13"/>
  <c r="G51" i="13"/>
  <c r="F51" i="13"/>
  <c r="C51" i="13"/>
  <c r="D51" i="13"/>
  <c r="E262" i="11"/>
  <c r="F262" i="11" s="1"/>
  <c r="G262" i="11" s="1"/>
  <c r="A337" i="11" s="1"/>
  <c r="D344" i="11" s="1"/>
  <c r="D345" i="11" s="1"/>
  <c r="E367" i="11"/>
  <c r="F367" i="11" s="1"/>
  <c r="G367" i="11" s="1"/>
  <c r="F366" i="11"/>
  <c r="D213" i="9"/>
  <c r="I105" i="7"/>
  <c r="C99" i="5"/>
  <c r="D99" i="5"/>
  <c r="C30" i="5"/>
  <c r="D30" i="5"/>
  <c r="G244" i="4"/>
  <c r="F243" i="4"/>
  <c r="G242" i="4"/>
  <c r="F241" i="4"/>
  <c r="F240" i="4"/>
  <c r="F239" i="4"/>
  <c r="G238" i="4"/>
  <c r="G237" i="4"/>
  <c r="F236" i="4"/>
  <c r="G235" i="4"/>
  <c r="G234" i="4"/>
  <c r="F233" i="4"/>
  <c r="F232" i="4"/>
  <c r="E244" i="4"/>
  <c r="D244" i="4"/>
  <c r="F231" i="4"/>
  <c r="F244" i="4" s="1"/>
  <c r="F203" i="4"/>
  <c r="E190" i="4"/>
  <c r="C207" i="4"/>
  <c r="C201" i="4"/>
  <c r="C196" i="4"/>
  <c r="B196" i="4"/>
  <c r="B197" i="4" s="1"/>
  <c r="H175" i="4"/>
  <c r="E163" i="4"/>
  <c r="C167" i="4" s="1"/>
  <c r="C137" i="4"/>
  <c r="C130" i="4"/>
  <c r="H126" i="4"/>
  <c r="B119" i="4"/>
  <c r="E114" i="4"/>
  <c r="B97" i="4"/>
  <c r="C70" i="4"/>
  <c r="H65" i="4"/>
  <c r="C57" i="4"/>
  <c r="C58" i="4" s="1"/>
  <c r="B45" i="4"/>
  <c r="B46" i="4" s="1"/>
  <c r="D177" i="10" l="1"/>
  <c r="D180" i="10" s="1"/>
  <c r="D182" i="10" s="1"/>
  <c r="I199" i="10" s="1"/>
  <c r="E263" i="11"/>
  <c r="D215" i="9"/>
  <c r="E341" i="9"/>
  <c r="C215" i="9"/>
  <c r="E280" i="9"/>
  <c r="D280" i="9"/>
  <c r="G278" i="9"/>
  <c r="G280" i="9" s="1"/>
  <c r="F280" i="9"/>
  <c r="G340" i="9"/>
  <c r="G341" i="9" s="1"/>
  <c r="H345" i="9" s="1"/>
  <c r="F341" i="9"/>
  <c r="E32" i="13"/>
  <c r="E51" i="13" s="1"/>
  <c r="F368" i="11"/>
  <c r="G366" i="11"/>
  <c r="G368" i="11" s="1"/>
  <c r="H372" i="11" s="1"/>
  <c r="F263" i="11"/>
  <c r="G263" i="11"/>
  <c r="H267" i="11" s="1"/>
  <c r="E368" i="11"/>
  <c r="E181" i="9" l="1"/>
  <c r="E182" i="9"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tc={42E83108-99E1-0942-BDB0-A0EDC803B34C}</author>
    <author>tc={04E53DFE-0FAF-5648-85D4-EFDD57943A99}</author>
    <author>tc={C4465232-A142-1D4D-8F8C-57979B275B74}</author>
    <author>tc={976E9746-2CAD-B846-9095-D68A9468734A}</author>
  </authors>
  <commentList>
    <comment ref="C123" authorId="0" shapeId="0" xr:uid="{42E83108-99E1-0942-BDB0-A0EDC803B34C}">
      <text>
        <t>[Threaded comment]
Your version of Excel allows you to read this threaded comment; however, any edits to it will get removed if the file is opened in a newer version of Excel. Learn more: https://go.microsoft.com/fwlink/?linkid=870924
Comment:
    עלות היסטורית - סך הסכום ששולם בעד המכונות 900 כולל הובלה 100 סהכ 1,000</t>
      </text>
    </comment>
    <comment ref="C124" authorId="1" shapeId="0" xr:uid="{04E53DFE-0FAF-5648-85D4-EFDD57943A99}">
      <text>
        <t xml:space="preserve">[Threaded comment]
Your version of Excel allows you to read this threaded comment; however, any edits to it will get removed if the file is opened in a newer version of Excel. Learn more: https://go.microsoft.com/fwlink/?linkid=870924
Comment:
    הפריט עלה 1,000, מופחת על פני 10 שנים ללא גרט - חילקנו ב-10, וכפלנו בזמן שחלף מזמינות לשימוש 31.3.2019 עד 1.1.2020 כלומר 9 חודשים </t>
      </text>
    </comment>
    <comment ref="C386" authorId="2" shapeId="0" xr:uid="{C4465232-A142-1D4D-8F8C-57979B275B74}">
      <text>
        <t>[Threaded comment]
Your version of Excel allows you to read this threaded comment; however, any edits to it will get removed if the file is opened in a newer version of Excel. Learn more: https://go.microsoft.com/fwlink/?linkid=870924
Comment:
    מהיתרה המקורית 50 בתוספת 22 מכירה באשראי שלא נרשמה</t>
      </text>
    </comment>
    <comment ref="F387" authorId="3" shapeId="0" xr:uid="{976E9746-2CAD-B846-9095-D68A9468734A}">
      <text>
        <t>[Threaded comment]
Your version of Excel allows you to read this threaded comment; however, any edits to it will get removed if the file is opened in a newer version of Excel. Learn more: https://go.microsoft.com/fwlink/?linkid=870924
Comment:
    מכירות מקוריות 400 בתוספת מכירה נוספת - אירוע ג - 22</t>
      </text>
    </comment>
  </commentList>
</comments>
</file>

<file path=xl/sharedStrings.xml><?xml version="1.0" encoding="utf-8"?>
<sst xmlns="http://schemas.openxmlformats.org/spreadsheetml/2006/main" count="5683" uniqueCount="3436">
  <si>
    <t>מבוא לחשבונאות פיננסית - שיעור מס׳ 1</t>
  </si>
  <si>
    <t>מטרה והגדרות</t>
  </si>
  <si>
    <t>מידע שמספקת מערכת החוקים והכללים הנקראת ״חשבונאות פיננסית״.</t>
  </si>
  <si>
    <t>מהם סוגי המידע העיקריים שמספקת החשבונאות?</t>
  </si>
  <si>
    <t>בחלוקה לתחומי פעילות.</t>
  </si>
  <si>
    <t>וכמובן ההפרש בין ההכנסות להוצאות - רווח (הפרש חיובי) או הפסד (הפרש שלילי)</t>
  </si>
  <si>
    <t xml:space="preserve">לתקופה (שנה). </t>
  </si>
  <si>
    <t>דוח רווח והפסד</t>
  </si>
  <si>
    <t>פירוט רכיבי המידע בדוחות וההגדרות שלהם</t>
  </si>
  <si>
    <t>הכנסות</t>
  </si>
  <si>
    <t>הוצאות</t>
  </si>
  <si>
    <t>נכסים</t>
  </si>
  <si>
    <t>התחייבויות</t>
  </si>
  <si>
    <t>לפניכם נתונים בדבר ערכים כספיים שונים. עליכם לסווג כל אחד מהם לקטגוריה הרלוונטית עבורו.</t>
  </si>
  <si>
    <t>חשבון</t>
  </si>
  <si>
    <t>סכום כספי</t>
  </si>
  <si>
    <t>הון עצמי (?)</t>
  </si>
  <si>
    <t>עו״ש בנק</t>
  </si>
  <si>
    <t>מלאי סוף שנה</t>
  </si>
  <si>
    <t>לקוחות</t>
  </si>
  <si>
    <t>חייבים</t>
  </si>
  <si>
    <t>ספקים</t>
  </si>
  <si>
    <t>רכוש קבוע</t>
  </si>
  <si>
    <t>נדל״ן להשקעה</t>
  </si>
  <si>
    <t>פטנטים</t>
  </si>
  <si>
    <t>זכיונות</t>
  </si>
  <si>
    <t>תוכנות</t>
  </si>
  <si>
    <t>הלוואות לזמן קצר</t>
  </si>
  <si>
    <t>הלוואות לזמן ארוך</t>
  </si>
  <si>
    <t>הון מניות</t>
  </si>
  <si>
    <t>עודפים (יתרת רווח)</t>
  </si>
  <si>
    <t>?</t>
  </si>
  <si>
    <t>לקוחות:</t>
  </si>
  <si>
    <t xml:space="preserve">לקוחות משקפים את סך החוב הכולל של לקוחות החברה כלפיה. </t>
  </si>
  <si>
    <t>כלומר: ״כמה הלקוחות חייבים לי״.</t>
  </si>
  <si>
    <t>כאשר צפויה קבלה של סכום כספי מלקוח = = כניסת הטבה כלכלית בעתיד = = נכס.</t>
  </si>
  <si>
    <r>
      <t xml:space="preserve">זהו </t>
    </r>
    <r>
      <rPr>
        <b/>
        <sz val="12"/>
        <color theme="1"/>
        <rFont val="David"/>
      </rPr>
      <t>נכס</t>
    </r>
    <r>
      <rPr>
        <sz val="12"/>
        <color theme="1"/>
        <rFont val="David"/>
      </rPr>
      <t>. מדוע? משום שמדובר בסכום כספי שהחברה אמורה לקבל בעתיד מהלקוח.</t>
    </r>
  </si>
  <si>
    <t>חייבים:</t>
  </si>
  <si>
    <t>חוב כלפי החברה שאיננו של לקוח - כלומר לא נובע מקשרי מסחר רגילים (ממכירה / מתן שירות).</t>
  </si>
  <si>
    <t>לדוגמא: חוב של רשות המסים כלפיי (החזר מס צפוי)</t>
  </si>
  <si>
    <t>חוב של עובד כלפיי.</t>
  </si>
  <si>
    <t>וכיו״ב.</t>
  </si>
  <si>
    <r>
      <t xml:space="preserve">בדומה ללקוחות, גם ״חייבים״ הוא </t>
    </r>
    <r>
      <rPr>
        <b/>
        <sz val="12"/>
        <color theme="1"/>
        <rFont val="David"/>
      </rPr>
      <t>נכס</t>
    </r>
    <r>
      <rPr>
        <sz val="12"/>
        <color theme="1"/>
        <rFont val="David"/>
      </rPr>
      <t>, משום שבעתיד צפויות לזרום לחברה הטבות (גביית החוב).</t>
    </r>
  </si>
  <si>
    <t>התחייבות קיימת של החברה לשלם לספקי המוצרים והשירותים בעתיד - בגין מוצר שכבר נרכש / שירות שכבר</t>
  </si>
  <si>
    <t xml:space="preserve">נצרך. </t>
  </si>
  <si>
    <t>ספקים:</t>
  </si>
  <si>
    <t>שאלה מהקהל: האם ניתן לומר שספקים זו בעצם ההוצאה?</t>
  </si>
  <si>
    <t xml:space="preserve">נמחיש את התשובה באמצעות דוגמא. </t>
  </si>
  <si>
    <t>עד לתום התקופה, שילמה החברה לספק במזומן בעד שירותיו 80,000 ש״ח.</t>
  </si>
  <si>
    <t>מהי ההוצאה?</t>
  </si>
  <si>
    <t>מהי יתרת הסכום הכספי בחשבון ספקים?</t>
  </si>
  <si>
    <t>ההוצאה מוגדרת בתור שווי השירות שנצרך ולכן = 100,000 (זו הפעילות).</t>
  </si>
  <si>
    <r>
      <rPr>
        <b/>
        <sz val="12"/>
        <color theme="1"/>
        <rFont val="David"/>
      </rPr>
      <t>יתרת הספקים</t>
    </r>
    <r>
      <rPr>
        <sz val="12"/>
        <color theme="1"/>
        <rFont val="David"/>
      </rPr>
      <t xml:space="preserve"> לעומת זאת היא יתרת ההתחייבות שטרם שולמה = </t>
    </r>
    <r>
      <rPr>
        <b/>
        <sz val="12"/>
        <color theme="1"/>
        <rFont val="David"/>
      </rPr>
      <t>20,000</t>
    </r>
    <r>
      <rPr>
        <sz val="12"/>
        <color theme="1"/>
        <rFont val="David"/>
      </rPr>
      <t xml:space="preserve"> = 80,000 - 100,000</t>
    </r>
  </si>
  <si>
    <t>זכאים:</t>
  </si>
  <si>
    <t xml:space="preserve">יתרת התחייבות לגורם שאיננו ספק. </t>
  </si>
  <si>
    <t>כגון: התחייבות לעירייה בגין ארנונה.</t>
  </si>
  <si>
    <t>התחייבות לשלם מס לרשות המסים.</t>
  </si>
  <si>
    <t>התחייבות בגין שכר לעובד.</t>
  </si>
  <si>
    <t>רכוש קבוע:</t>
  </si>
  <si>
    <t>מכונות, ציוד, כלי רכב, מבנים, ריהוט, מחשבים, טלפונים סלולריים וכיו״ב - פריטים מוחשיים (פיסיים)</t>
  </si>
  <si>
    <r>
      <t>שפרק הזמן הצפוי להטבה מהם (לשימוש) ארוך (מעל שנה). זוהי דוגמא ל</t>
    </r>
    <r>
      <rPr>
        <b/>
        <sz val="12"/>
        <color theme="1"/>
        <rFont val="David"/>
      </rPr>
      <t>נכס</t>
    </r>
    <r>
      <rPr>
        <sz val="12"/>
        <color theme="1"/>
        <rFont val="David"/>
      </rPr>
      <t xml:space="preserve">. </t>
    </r>
  </si>
  <si>
    <t>נדל״ן להשקעה:</t>
  </si>
  <si>
    <t>מבנים (נכסים) שאינם משמשים את החברה עצמה, אלא מושכרים ו/או מוחזקים למכירה בטווח הארוך.</t>
  </si>
  <si>
    <t>פטנטים:</t>
  </si>
  <si>
    <t>דוגמא: פטנט לתרופות, לרכב אוטונומי וכיו״ב.</t>
  </si>
  <si>
    <r>
      <rPr>
        <b/>
        <sz val="12"/>
        <color theme="1"/>
        <rFont val="David"/>
      </rPr>
      <t>נכס</t>
    </r>
    <r>
      <rPr>
        <sz val="12"/>
        <color theme="1"/>
        <rFont val="David"/>
      </rPr>
      <t xml:space="preserve"> המשקף ידע ייחודי שבבעלות החברה ויכולת השימוש בו להניב הטבות כלכליות מוגבלת רק לחברה.</t>
    </r>
  </si>
  <si>
    <t>זכיונות:</t>
  </si>
  <si>
    <t>מבחינתנו: זכיונות לרשתות כגון ארומה, מקדונלדס וכיו״ב. זהו נכס משום שהוא מאפשר קבלת הטבות מהמותג.</t>
  </si>
  <si>
    <t>מלאי</t>
  </si>
  <si>
    <t>פריט בחברה שמוחזק לצורך מכירה שוטפת. למשל - באופיס דיפו ציוד משרדי הוא מלאי.</t>
  </si>
  <si>
    <t>למשל - באייבורי - מחשבים הם מלאי.</t>
  </si>
  <si>
    <t>מדוע מלאי הוא נכס? משום שצפויה מכירתו, ובעקבותיה תיווצר הטבה כלכלית (נגבה כסף).</t>
  </si>
  <si>
    <t>מפגש מס׳ 3 - פקודות יומן</t>
  </si>
  <si>
    <t>מטרה עיקרית - תיעוד עסקאות בסיסיות = פקודות יומן.</t>
  </si>
  <si>
    <t>לבין העלות הבסיסית ביותר - עלות המוצרים שנמכרו.</t>
  </si>
  <si>
    <t>מכירות</t>
  </si>
  <si>
    <t>+</t>
  </si>
  <si>
    <t>(-)</t>
  </si>
  <si>
    <t>רווח גולמי</t>
  </si>
  <si>
    <t>=</t>
  </si>
  <si>
    <t>נפעל כעת להגדרת וחישוב כל אחדת מהסעיפים הבונים את הרווח הגולמי:</t>
  </si>
  <si>
    <t>מכירות ברוטו</t>
  </si>
  <si>
    <t>בניכוי החזרות מלקוחות</t>
  </si>
  <si>
    <t>סך הכל מכירות נטו</t>
  </si>
  <si>
    <t>(*)</t>
  </si>
  <si>
    <t>מכירות (*) = מכירות נטו:</t>
  </si>
  <si>
    <t>(**)</t>
  </si>
  <si>
    <t>עלות המכירות (**):</t>
  </si>
  <si>
    <t>מלאי פתיחה</t>
  </si>
  <si>
    <t>קניות, נטו</t>
  </si>
  <si>
    <t>מלאי סגירה</t>
  </si>
  <si>
    <t>סך עלות המכר</t>
  </si>
  <si>
    <t>נניח: לתחילת שנה 1.1.2020</t>
  </si>
  <si>
    <t>מלאי פתיחה בעלות 100 ש״ח</t>
  </si>
  <si>
    <t>במהלך השנה 2020:</t>
  </si>
  <si>
    <t>קניות בהיקף 300 ש״ח</t>
  </si>
  <si>
    <t>הוצאתי מלאי בהיקף X</t>
  </si>
  <si>
    <t>בתום השנה 31.12.2020:</t>
  </si>
  <si>
    <t>מלאי סגירה בעלות 120 ש״ח</t>
  </si>
  <si>
    <t>איך ניתן לחלץ את X - עלות המלאי שיצא - עלות המכר?</t>
  </si>
  <si>
    <t>X = 100 + 300 - 120 = 280</t>
  </si>
  <si>
    <t>או:</t>
  </si>
  <si>
    <t>עלות המכר</t>
  </si>
  <si>
    <r>
      <t xml:space="preserve">כדי להשלים את הדיון - ההגדרה האחרונה שנחדד היא </t>
    </r>
    <r>
      <rPr>
        <b/>
        <sz val="12"/>
        <color theme="1"/>
        <rFont val="David"/>
      </rPr>
      <t>קניות נטו</t>
    </r>
    <r>
      <rPr>
        <sz val="12"/>
        <color theme="1"/>
        <rFont val="David"/>
      </rPr>
      <t>:</t>
    </r>
  </si>
  <si>
    <t>קניות נטו:</t>
  </si>
  <si>
    <t>קניות ברוטו</t>
  </si>
  <si>
    <t>הובלה למחסן</t>
  </si>
  <si>
    <t>החזרות לספקים</t>
  </si>
  <si>
    <t>הנחות מסחריות מספקים</t>
  </si>
  <si>
    <t>שהתקבלו</t>
  </si>
  <si>
    <r>
      <t xml:space="preserve">הנחות </t>
    </r>
    <r>
      <rPr>
        <b/>
        <sz val="12"/>
        <color theme="1"/>
        <rFont val="David"/>
      </rPr>
      <t>מסחריות</t>
    </r>
    <r>
      <rPr>
        <sz val="12"/>
        <color theme="1"/>
        <rFont val="David"/>
      </rPr>
      <t xml:space="preserve"> מספקים</t>
    </r>
  </si>
  <si>
    <t>סך הכל קניות נטו</t>
  </si>
  <si>
    <t>תרגולון - חשבו את הרווח הגולמי על בסיס הערכים הבאים:</t>
  </si>
  <si>
    <t xml:space="preserve">חשבון </t>
  </si>
  <si>
    <t>ערך כספי</t>
  </si>
  <si>
    <t>הוצאות הובלה ללקוחות</t>
  </si>
  <si>
    <t>הנחות מזומן מספקים</t>
  </si>
  <si>
    <t xml:space="preserve">הוצאות הובלה למחסן </t>
  </si>
  <si>
    <t>מכירות, נטו:</t>
  </si>
  <si>
    <t>עלות המכירות:</t>
  </si>
  <si>
    <r>
      <t xml:space="preserve">הנחות </t>
    </r>
    <r>
      <rPr>
        <sz val="12"/>
        <color rgb="FFFF0000"/>
        <rFont val="David"/>
      </rPr>
      <t>מזומן</t>
    </r>
    <r>
      <rPr>
        <sz val="12"/>
        <color theme="1"/>
        <rFont val="David"/>
      </rPr>
      <t xml:space="preserve"> ללקוחות</t>
    </r>
  </si>
  <si>
    <r>
      <t xml:space="preserve">בניכוי הנחות </t>
    </r>
    <r>
      <rPr>
        <sz val="12"/>
        <color rgb="FFFF0000"/>
        <rFont val="David"/>
      </rPr>
      <t>מסחריות</t>
    </r>
    <r>
      <rPr>
        <sz val="12"/>
        <color theme="1"/>
        <rFont val="David"/>
      </rPr>
      <t xml:space="preserve"> ללקוחות</t>
    </r>
  </si>
  <si>
    <r>
      <t xml:space="preserve">הנחות </t>
    </r>
    <r>
      <rPr>
        <sz val="12"/>
        <color rgb="FFFF0000"/>
        <rFont val="David"/>
      </rPr>
      <t>מסחריות</t>
    </r>
    <r>
      <rPr>
        <sz val="12"/>
        <color theme="1"/>
        <rFont val="David"/>
      </rPr>
      <t xml:space="preserve"> ללקוחות</t>
    </r>
  </si>
  <si>
    <t>החזרות מלקוחות</t>
  </si>
  <si>
    <t>מכירות נטו סה״כ</t>
  </si>
  <si>
    <r>
      <t xml:space="preserve">בתוספת קניות נטו </t>
    </r>
    <r>
      <rPr>
        <sz val="10"/>
        <color theme="1"/>
        <rFont val="David"/>
      </rPr>
      <t>(קניות ברוטו + הובלה למחסן, בניכוי הנחות מסחריות מספק והחזרות)</t>
    </r>
  </si>
  <si>
    <t xml:space="preserve">50,000 + 8,000 - 1,000 - 7,000 = </t>
  </si>
  <si>
    <t>סך עלות המכירות</t>
  </si>
  <si>
    <t>רווח גולמי:</t>
  </si>
  <si>
    <t>מכירות, נטו</t>
  </si>
  <si>
    <t>בניכוי עלות המכירות</t>
  </si>
  <si>
    <t>הון עצמי</t>
  </si>
  <si>
    <t>א. חברה הנפיקה 30,000 מניות בנות 2 ש״ח ערך נקוב כל אחת תמורת 60,000 ש״ח.</t>
  </si>
  <si>
    <t>ב. החברה לוותה 50,000 ש״ח כהלוואה ל-5 שנים שתסולק בתשלום אחד (קרן וריבית) בתום 5 השנים.</t>
  </si>
  <si>
    <t>ג. הריבית שנצברה (אך טרם שולמה) בגין אירוע ב עד לתום שנת הדיווח היא 3,000 ש״ח.</t>
  </si>
  <si>
    <t>ד. החברה העניקה שירותים בהיקף 40,000 ש״ח. סכום של 30,000 ש״ח התקבל במזומן, היתרה תתקבל בשנה הבאה.</t>
  </si>
  <si>
    <t>ה. החברה שילמה בעד הוצאות חשמל 5,000 ש״ח.</t>
  </si>
  <si>
    <t>ו. החברה שילמה בעד הוצאות תפעוליות 20,000 ש״ח.</t>
  </si>
  <si>
    <t>ז. החברה הפקידה בפיקדון בנקאי לזמן קצר 15,000 ש״ח.</t>
  </si>
  <si>
    <t>ט. החברה הכריזה דיבידנד בסכום של 5,000 ש״ח. הדיבידנד ישולם בשנה הבאה.</t>
  </si>
  <si>
    <t>מזומן</t>
  </si>
  <si>
    <t>א. הנפקת מניות - קבלת מזומן</t>
  </si>
  <si>
    <t>ב. נטילת הלוואה</t>
  </si>
  <si>
    <t>הלוואה ל-5 שנים</t>
  </si>
  <si>
    <t>ג. צבירת ריבית בגין הלוואה</t>
  </si>
  <si>
    <t>הוצאות (-)</t>
  </si>
  <si>
    <t>ריבית לשלם</t>
  </si>
  <si>
    <t>ד. אספקת שירותים</t>
  </si>
  <si>
    <t>ה. הוצאות חשמל</t>
  </si>
  <si>
    <t>ו. הוצאות תפעוליות</t>
  </si>
  <si>
    <t>ז. הפקדה בפיקדון לזמן קצר</t>
  </si>
  <si>
    <t>פקדון 
לזמן קצר</t>
  </si>
  <si>
    <t>ח. פירעון פיקדון</t>
  </si>
  <si>
    <t>ט. הכרזת דיבידנד</t>
  </si>
  <si>
    <t>עודפים
(רווח מצטבר)</t>
  </si>
  <si>
    <t>דיבידנד 
לשלם</t>
  </si>
  <si>
    <t>וכעת החלק ה״קשוח״ - מעבר מטבלה ״הגיונית״ של תיעוד לדרך הרישום המקובלת בתוכנות הנהלת חשבונות וכיו״ב - פקודות יומן</t>
  </si>
  <si>
    <t>טכניקת הרישום החשבונאית לא כוללת הגדרות לשוניות כמו ״הנכסים גדלים״ או ״ההון קטן״.</t>
  </si>
  <si>
    <t>היא כוללת הגדרות הנקראות ״חובה וזכות״.</t>
  </si>
  <si>
    <t>למה הכוונה?</t>
  </si>
  <si>
    <t>גידול</t>
  </si>
  <si>
    <t>קיטון</t>
  </si>
  <si>
    <t>חובה</t>
  </si>
  <si>
    <t>זכות</t>
  </si>
  <si>
    <t>זכות הון מניות 60,000</t>
  </si>
  <si>
    <t>חובה
מזומן</t>
  </si>
  <si>
    <t>זכות
הון מניות</t>
  </si>
  <si>
    <r>
      <rPr>
        <b/>
        <sz val="12"/>
        <color theme="1"/>
        <rFont val="David"/>
      </rPr>
      <t>א.</t>
    </r>
    <r>
      <rPr>
        <sz val="12"/>
        <color theme="1"/>
        <rFont val="David"/>
      </rPr>
      <t xml:space="preserve"> חובה מזומן 60,000</t>
    </r>
  </si>
  <si>
    <t>זכות הלוואה ל-5 שנים 50,000</t>
  </si>
  <si>
    <r>
      <rPr>
        <b/>
        <sz val="12"/>
        <color theme="1"/>
        <rFont val="David"/>
      </rPr>
      <t xml:space="preserve">ב. </t>
    </r>
    <r>
      <rPr>
        <sz val="12"/>
        <color theme="1"/>
        <rFont val="David"/>
      </rPr>
      <t>חובה מזומן 50,000</t>
    </r>
  </si>
  <si>
    <t>זכות
הלוואה</t>
  </si>
  <si>
    <t>זכות
ריבית לשלם</t>
  </si>
  <si>
    <t>חובה
הוצאות ריבית</t>
  </si>
  <si>
    <t>זכות ריבית לשלם 3,000</t>
  </si>
  <si>
    <t>ד. חובה מזומן 30,000</t>
  </si>
  <si>
    <t>חובה לקוחות 10,000</t>
  </si>
  <si>
    <t>זכות הכנסות משירות 40,000</t>
  </si>
  <si>
    <t>ה. חובה הוצאות חשמל 5,000</t>
  </si>
  <si>
    <t>ו. חובה הוצאות תפעוליות 20,000</t>
  </si>
  <si>
    <t>זכות מזומן 20,000</t>
  </si>
  <si>
    <t>זכות מזומן 5,000</t>
  </si>
  <si>
    <t>ז. חובה פיקדון לזמן קצר 15,000</t>
  </si>
  <si>
    <t>זכות מזומן 15,000</t>
  </si>
  <si>
    <t>ח. חובה מזומן 16,000</t>
  </si>
  <si>
    <t>זכות פיקדון לזמן קצר 15,000</t>
  </si>
  <si>
    <t>זכות הכנסות ריבית 1,000</t>
  </si>
  <si>
    <t>ט. חובה עודפים (הכרזת דיבידנד) 5,000</t>
  </si>
  <si>
    <t>זכות דיבידנד לשלם 5,000</t>
  </si>
  <si>
    <t>https://youtu.be/yBkNCQvDNCw</t>
  </si>
  <si>
    <t>חדש!!! סרטון הדרכה מפורט ואינטנסיבי למעוניינים בנושא פקודות יומן - מוקלט ״אקסטרא״ - נמצא כאן:</t>
  </si>
  <si>
    <t>המטרה שלנו במפגש זה היא להמשיך ולתרגל את נושא פקודות היומן, ולאחר התרגול, להציג את טכניקת הרישום המקובלת</t>
  </si>
  <si>
    <t>לתיעוד ערכים לשם צבירת יתרות במסגרת ״כרטיסי חשבון״ ו״מאזן בוחן תלת טורי״.</t>
  </si>
  <si>
    <t>התרגיל</t>
  </si>
  <si>
    <t>חברת ״מקינטה הקטנה״ בע״מ (להלן: ״החברה״) היא חברה מסחרית העוסקת במגוון רחב של פעילויות עסקיות. להלן נתונים</t>
  </si>
  <si>
    <t>בדבר עסקאות ואירועים שהתרחשו בחברה בשנת הקמתה (החברה הוקמה ב-1.1.2018):</t>
  </si>
  <si>
    <t>ב. החברה נטלה הלוואות לזמן ארוך בסכום של 70,000 ש״ח.</t>
  </si>
  <si>
    <t>ג. החברה שילמה הוצאות ריבית בגין הלוואות לזמן ארוך בסך של 7,000 ש״ח.</t>
  </si>
  <si>
    <t>ד. החברה ביצעה קניות מספקים בעלות של 40,000 ש״ח. מתוך סכום זה, 10,000 ש״ח שולמו במזומן והיתרה טרם שולמה.</t>
  </si>
  <si>
    <t>ו. החברה שילמה הוצאות חשמל בסך 15,000 ש״ח.</t>
  </si>
  <si>
    <t>ז. החברה שילמה הוצאות פרסום בסך 4,000 ש״ח.</t>
  </si>
  <si>
    <t>ח. החברה רכשה מקבוקים לעובדי המשרד בסך 8,000 ש״ח.</t>
  </si>
  <si>
    <t>ט. החברה נטלה הלוואה לזמן קצר בסך 10,000 ש״ח.</t>
  </si>
  <si>
    <t>י. החברה שילמה הוצאות שכר ומשכורות כלליות בסך 20,000 ש״ח.</t>
  </si>
  <si>
    <t>א. החברה הנפיקה 200,000 מניות בנות 1 ש״ח ערך נקוב כל אחת בתמורה ל-200,000 ש״ח.</t>
  </si>
  <si>
    <t>נדרש:</t>
  </si>
  <si>
    <t>א. תעדו את כל העסקאות בזהות החשבונאית ורשמו פקודת יומן לתיעוד כל אחת מהן.</t>
  </si>
  <si>
    <t xml:space="preserve">ב. ערכו כרטיסי חשבון לתיעוד העסקאות. </t>
  </si>
  <si>
    <t>ג. הציגו מאזן בוחן תלת טורי לתיעוד העסקאות ויתרותיהן.</t>
  </si>
  <si>
    <t xml:space="preserve">    הנחייה: כדי להקל על המעקב שלכם, אין צורך בבניית טבלה מרכזת, אלא במיני טבלה ואז פקודה לכל אירוע בנפרד.</t>
  </si>
  <si>
    <t>למי שעדיין מתקשה בפקודות יומן ופספס - סרטון עזר מאד חובבני אך שקיבל פידבקים טובים מאד מסטודנטים, נמצא כאן:</t>
  </si>
  <si>
    <t>ה. החברה ביצעה מכירות שכל כל הקניות - ללקוחות בהיקף של 100,000 ש״ח, מתוכן 44,000 ש״ח במזומן והיתרה באשראי לקוחות.</t>
  </si>
  <si>
    <t>תזכורת - כללי יסוד:</t>
  </si>
  <si>
    <t>התחייבויות +</t>
  </si>
  <si>
    <t>הכנסות (+)</t>
  </si>
  <si>
    <t>גידול - בחובה</t>
  </si>
  <si>
    <t>קיטון - בזכות</t>
  </si>
  <si>
    <t>גידול - בזכות</t>
  </si>
  <si>
    <t>קיטון - בחובה</t>
  </si>
  <si>
    <t>טבלת פקודות יומן בהתאם לכלל היסוד:</t>
  </si>
  <si>
    <t>חובה מזומן</t>
  </si>
  <si>
    <t>זכות הון מניות</t>
  </si>
  <si>
    <t>נכסים
גידול-חובה
קיטון-זכות</t>
  </si>
  <si>
    <t>התחייבויות והון עצמי
גידול-בזכות
קיטון-חובה</t>
  </si>
  <si>
    <t>התחייבות:
הלוואה</t>
  </si>
  <si>
    <t>ערך בסוגריים = שלילי בחשבונאות.</t>
  </si>
  <si>
    <t>זכות מזומן</t>
  </si>
  <si>
    <t xml:space="preserve">חובה הוצאות ריבית </t>
  </si>
  <si>
    <t>הסבר מפורט:</t>
  </si>
  <si>
    <t>נכס המזומן קטן - זכות מזומן.</t>
  </si>
  <si>
    <t>לגבי הוצאות הריבית - זה נכון לומר שההוצאות גדלות; יחד עם זאת, יש לזכור - הוצאות מקטינות</t>
  </si>
  <si>
    <t xml:space="preserve">את הרווח ולכן גם את ההון העצמי. </t>
  </si>
  <si>
    <t xml:space="preserve">משום כך, תמיד הוצאות מקטינות בעקיפין את ההון העצמי, ותמיד תרשמנה בחובה. </t>
  </si>
  <si>
    <t>התחייבות:</t>
  </si>
  <si>
    <t>כאשר אנו נתקלים במונח ״קניות״, ללא תיאורים נוספים, מדובר בקניה ״שוטפת״ [לא של נכס ארוך טווח]</t>
  </si>
  <si>
    <t>ההוצאה תירשם לפי סכום הקניה הכולל, ללא תלות במועד התשלום בפועל.</t>
  </si>
  <si>
    <t xml:space="preserve">ולכן יש לתעד הוצאה - בצד ההון העצמי בסימן שלילי (סוגריים = שלילי בחשבונאות). </t>
  </si>
  <si>
    <t>המזומן קטן ב-10,000.</t>
  </si>
  <si>
    <t xml:space="preserve">בנוסף נוצרה התחייבות לשלם את ההפרש בין סכום הקניה (40,000) לבין תשלום המזומן (10,000) = 30,000. </t>
  </si>
  <si>
    <t>להתחייבות שנוצרת כנגד ספקי מוצר או שירות, נקרא ״ספקים״. לכן יש להגדיל התחייבות הנקראת ״ספקים״ בסכום זה.</t>
  </si>
  <si>
    <t>זכות ספקים</t>
  </si>
  <si>
    <t>חובה קניות</t>
  </si>
  <si>
    <t>כשם שבנתון לגבי קניות - נרשום את כל סכום הקניה כהוצאה (אירוע ד),</t>
  </si>
  <si>
    <r>
      <t xml:space="preserve">כך בנתון לגבי מכירות - נרשום את כל סכום המכירה כהכנסה - וזאת: </t>
    </r>
    <r>
      <rPr>
        <u/>
        <sz val="12"/>
        <color theme="1"/>
        <rFont val="David"/>
      </rPr>
      <t>ללא תלות</t>
    </r>
    <r>
      <rPr>
        <sz val="12"/>
        <color theme="1"/>
        <rFont val="David"/>
      </rPr>
      <t xml:space="preserve"> במועד שבו מתקבל המזומן בעד המכירה.</t>
    </r>
  </si>
  <si>
    <t>הואיל וקיים פער בין סכום ההכנסה (המכירה):</t>
  </si>
  <si>
    <t>לסכום המזומן שהתקבל</t>
  </si>
  <si>
    <t>נוצר הפרש, המשקף חוב כלפי החברה = נכס לקוחות:</t>
  </si>
  <si>
    <t xml:space="preserve">100,000 - 44,000 = </t>
  </si>
  <si>
    <t>פקודת יומן:</t>
  </si>
  <si>
    <t>חובה לקוחות</t>
  </si>
  <si>
    <t>זכות מכירות</t>
  </si>
  <si>
    <t>חובה הוצאות חשמל</t>
  </si>
  <si>
    <t>חובה הוצאות פרסום</t>
  </si>
  <si>
    <t>ההסבר / הטבלה: בדיוק כמו בסעיף קודם.</t>
  </si>
  <si>
    <t>ח. החברה רכשה מקבוקים לעובדי המשרד בסך 8,000 ש״ח מתוכם שילמה במזומן 5,000 והיתרה באשראי ספקים.</t>
  </si>
  <si>
    <t>מחשבים</t>
  </si>
  <si>
    <r>
      <rPr>
        <b/>
        <sz val="12"/>
        <color theme="1"/>
        <rFont val="David"/>
      </rPr>
      <t>ראשית</t>
    </r>
    <r>
      <rPr>
        <sz val="12"/>
        <color theme="1"/>
        <rFont val="David"/>
      </rPr>
      <t>: המזומן ששולם מקטין את נכס המזומן:</t>
    </r>
  </si>
  <si>
    <r>
      <rPr>
        <b/>
        <sz val="12"/>
        <color theme="1"/>
        <rFont val="David"/>
      </rPr>
      <t>שנית</t>
    </r>
    <r>
      <rPr>
        <sz val="12"/>
        <color theme="1"/>
        <rFont val="David"/>
      </rPr>
      <t xml:space="preserve">: הואיל ומדובר ברכישה של פריט ״בר קיימא״ (שישרת את החברה תקופה ממושכת) - מלוא עלותו היא נכס מחשב: </t>
    </r>
    <r>
      <rPr>
        <b/>
        <sz val="12"/>
        <color theme="1"/>
        <rFont val="David"/>
      </rPr>
      <t>8,000</t>
    </r>
  </si>
  <si>
    <t>8,000 - 5,000 = 3,000</t>
  </si>
  <si>
    <r>
      <rPr>
        <b/>
        <sz val="12"/>
        <color theme="1"/>
        <rFont val="David"/>
      </rPr>
      <t>שלישית</t>
    </r>
    <r>
      <rPr>
        <sz val="12"/>
        <color theme="1"/>
        <rFont val="David"/>
      </rPr>
      <t>: הואיל ועלות המחשב שנרכש גבוהה מהסכום ששולם, ההפרש מהווה התחייבות לספק המחשבים:</t>
    </r>
  </si>
  <si>
    <t>זכרו: סוגריים = מינוס בחשבונאות.</t>
  </si>
  <si>
    <t>חובה מחשבים</t>
  </si>
  <si>
    <t>כי נכס המזומן קטן</t>
  </si>
  <si>
    <t>כי נכס המחשבים גדל</t>
  </si>
  <si>
    <t>כי ההתחייבות לספקים גדלה</t>
  </si>
  <si>
    <t>הלוואה
לזמן קצר</t>
  </si>
  <si>
    <t>זכות הלוואה לזמן קצר</t>
  </si>
  <si>
    <t>כרטיסי חשבון:</t>
  </si>
  <si>
    <t>הוצאות ריבית</t>
  </si>
  <si>
    <t>קניות</t>
  </si>
  <si>
    <t>הוצאות חשמל</t>
  </si>
  <si>
    <t>הוצאות פרסום</t>
  </si>
  <si>
    <t>שכר ומשכורות</t>
  </si>
  <si>
    <t>זכות הלוואה לזמן ארוך</t>
  </si>
  <si>
    <t>חובה הוצאות שכר ומשכורות</t>
  </si>
  <si>
    <t>הוצ׳ ריבית</t>
  </si>
  <si>
    <t>הלוואה לז״א</t>
  </si>
  <si>
    <t>הלוואה לזמן ארוך (לז״א)</t>
  </si>
  <si>
    <t>הוצ׳ חשמל</t>
  </si>
  <si>
    <t>הוצ׳ פרסום</t>
  </si>
  <si>
    <t>הלוואה לז״ק</t>
  </si>
  <si>
    <t>הלוואה לזמן קצר (לז״ק)</t>
  </si>
  <si>
    <t>סה״כ</t>
  </si>
  <si>
    <t>ריכוז ערכי פקודות יומן</t>
  </si>
  <si>
    <t>נפתח ״מיני טבלה״ (כרטיס) לכל חשבון שנוצר בו שינוי בעקבות הפקודות, ונתעד את ערכיהן בצורה מרוכזת.</t>
  </si>
  <si>
    <t>א</t>
  </si>
  <si>
    <t>ב</t>
  </si>
  <si>
    <t>ה</t>
  </si>
  <si>
    <t>ט</t>
  </si>
  <si>
    <t>ג</t>
  </si>
  <si>
    <t>ד</t>
  </si>
  <si>
    <t>ו</t>
  </si>
  <si>
    <t>ז</t>
  </si>
  <si>
    <t>ח</t>
  </si>
  <si>
    <t>י</t>
  </si>
  <si>
    <t>סיכום ביניים</t>
  </si>
  <si>
    <t>יתרה</t>
  </si>
  <si>
    <t>ד                  ה</t>
  </si>
  <si>
    <t>ה                   ו</t>
  </si>
  <si>
    <t>ט                   י</t>
  </si>
  <si>
    <t>מאזן בוחן תלת טורי- טכניקה לריכוז מלא של כל הכרטיסים:</t>
  </si>
  <si>
    <t>מטרת מאזן הבוחן התלת טורי היא לרכז באופן מסודר את כלל הערכים של כל הכרטיסים.</t>
  </si>
  <si>
    <t>הוא נקרא ״תלת טורי״ משום שכולל טור א - יתרת פתיחה (לתחילת התקופה, 1.1)</t>
  </si>
  <si>
    <t>טור ב - שינויים / תנועות התקופה (במהלך השנה)</t>
  </si>
  <si>
    <t>טור ג - סיכום - יתרה סופית לתום התקופה (31.12)</t>
  </si>
  <si>
    <t xml:space="preserve">ספציפית במקרה זה, לא היו קיימות יתרות פתיחה (״החברה חדשה״). לכן נותיר את טור א ריק. </t>
  </si>
  <si>
    <t>יתרת פתיחה (א)</t>
  </si>
  <si>
    <t>תנועות התקופה (ב)</t>
  </si>
  <si>
    <t>יתרת סגירה (ג)</t>
  </si>
  <si>
    <t>מטרה:</t>
  </si>
  <si>
    <t>לחדד ולהדגיש את הפער העקרוני בין עיתוי כניסה ויציאת מזומנים, לבין עיתוי הפעילות שבגינה נרשמות הכנסות</t>
  </si>
  <si>
    <t>או הוצאות.</t>
  </si>
  <si>
    <t>לחדד את אופן רישום פקודות היומן הקשורות, והמעגל החשבונאי השלם של התהליך בעסקאות לשירות מתמשך</t>
  </si>
  <si>
    <t>בכללותן.</t>
  </si>
  <si>
    <t>ב. אמידת סכום ההכנסה / ההוצאה בפועל, בהתאם לשווי השירות שנצרך / סופק.</t>
  </si>
  <si>
    <t>ג. אמידת הערך ההפרשי המצטבר בין סכומי ההכנסות / ההוצאות לבין סכומי המזומן המצטברים ששולמו / התקבלו.</t>
  </si>
  <si>
    <t>ד. רישום פקודת יומן מתאימה לעדכון ההפרש (פקודת התאמה / פקודת חתך).</t>
  </si>
  <si>
    <t>לא מספיק ברור? הבה נדגים.</t>
  </si>
  <si>
    <t>שאלה 1</t>
  </si>
  <si>
    <t>שסיפקה החברה למשרד הביטחון, לצד סכומי התקבולים שנתקבלו במזומן בכל שנה בהתאם להסדר עם הלקוח:</t>
  </si>
  <si>
    <t>שירות שסופק</t>
  </si>
  <si>
    <t>ע״י שייקונים</t>
  </si>
  <si>
    <t>מזומן ששולם</t>
  </si>
  <si>
    <t>לחברת שייקונים</t>
  </si>
  <si>
    <t>שנת</t>
  </si>
  <si>
    <t>הפעילות</t>
  </si>
  <si>
    <t>הכספית</t>
  </si>
  <si>
    <t xml:space="preserve">אלפי ש״ח </t>
  </si>
  <si>
    <t>נדרש - השלימו את הטבלה הבאה:</t>
  </si>
  <si>
    <t>שנה</t>
  </si>
  <si>
    <t>הכנסה</t>
  </si>
  <si>
    <t>שנרשמה</t>
  </si>
  <si>
    <t xml:space="preserve">בהנהלת </t>
  </si>
  <si>
    <t>חשבונות</t>
  </si>
  <si>
    <t>על בסיס מזומן</t>
  </si>
  <si>
    <t>בדוח</t>
  </si>
  <si>
    <t>רווח והפסד</t>
  </si>
  <si>
    <t>לפי שווי</t>
  </si>
  <si>
    <t>פקודת התאמה</t>
  </si>
  <si>
    <t>או ״פקודת חתך״</t>
  </si>
  <si>
    <t>יתרת</t>
  </si>
  <si>
    <t>התחשבנות</t>
  </si>
  <si>
    <t>מצטברת</t>
  </si>
  <si>
    <t>בין הצדדים</t>
  </si>
  <si>
    <t>״יתרת חתך״</t>
  </si>
  <si>
    <t>ח׳ מזומן 80
ז׳ הכנסה 80</t>
  </si>
  <si>
    <t>פקודה להכנסה</t>
  </si>
  <si>
    <t>הכנסות לקבל (נכס) 100</t>
  </si>
  <si>
    <t>הכנסות מראש (התחייבות) 120</t>
  </si>
  <si>
    <t>הכנסות מראש (התחייבות) 50</t>
  </si>
  <si>
    <t>אין יתרת חתך</t>
  </si>
  <si>
    <t>שאלה 2</t>
  </si>
  <si>
    <t>חברת ״חלוניים״ עוסקת בייעוץ להטמעת מערכות מחשב גרועות בעסקים. להלן נתונים בדבר שווי שירותי ייעוץ</t>
  </si>
  <si>
    <t>שסיפקה החברה למשרד קקמייקה, לצד סכומי התקבולים שנתקבלו במזומן בכל שנה בהתאם להסדר עם הלקוח:</t>
  </si>
  <si>
    <t>ע״י חלוניים</t>
  </si>
  <si>
    <t>לחברת חלוניים</t>
  </si>
  <si>
    <t>הסברים:</t>
  </si>
  <si>
    <t>בצהוב - פקודת יומן שמכירה בהכנסה לפי הנהלת החשבונות, לפי בסיס מזומן. הרעיון הוא שבשלב הרישום הראשוני, למרות</t>
  </si>
  <si>
    <t>שזה כמובן לא מדויק, מנהל החשבונות כן רושם את ההכנסה לפי המזומן.</t>
  </si>
  <si>
    <t>בירוק - ההכנסה הסופית בפועל. זו לא פקודה, אלא היעד הכולל של סך הרישומים. למעשה, לאחר האפיון ההנדסי של השלמת</t>
  </si>
  <si>
    <t>הפרויקט, יודעים מהו השווי של השירות שסופק ובהתאם קובעים את ההכנסה הסופית שחייבת להיות מוכרת בדיווח</t>
  </si>
  <si>
    <t>השנתי למשקיע בהתאם לעיקרון של ״שווי השירות שסופק״.</t>
  </si>
  <si>
    <t>וכלל הערכים בירוק (שווי שירות שסופק) במצטבר, לתום כל אחת מהשנים בנפרד, ולחשב את ההפרש ביניהם. אם קיבלנו</t>
  </si>
  <si>
    <t>בצהוב יותר מהשירות שסיפקנו בירוק (במצטבר), ייווצר חשבון של הכנסות מראש המשקף התחייבות, ואם קיבלנו בצהוב</t>
  </si>
  <si>
    <t xml:space="preserve">פחות מהשירות שסיפקנו בירוק (במצטבר), ייווצר חשבון של הכנסות לקבל המשקף נכס. </t>
  </si>
  <si>
    <t>רקע, מטרות וקישור לחומר הנלמד:</t>
  </si>
  <si>
    <t>עד כה עסקנו ב:</t>
  </si>
  <si>
    <t>א. מטרת הדוחות הכספיים (מצב כספי - נכסים, התחייבויות והון, ותוצאות פעילות - רווח והפסד).</t>
  </si>
  <si>
    <t>ב. הצגנו את תהליך הרישום החשבונאי הבסיסי ופקודות היומן וריכוזיהן.</t>
  </si>
  <si>
    <t>ג. התמקדנו בדיון בהכרה בהכנסות ובהוצאות על בסיס הנשען על פעילויות ולא על עיתוי המזומן, כולל התאמות</t>
  </si>
  <si>
    <t xml:space="preserve">    הנובעות מכך בתהליך הרישום השוטף (פקודות ויתרות חתך).</t>
  </si>
  <si>
    <t>כעת:</t>
  </si>
  <si>
    <t>מטרתנו בשיעורים הקרובים היא להעמיק ברכיבים ספציפיים של הדיווח, ובפרט - באופן מדידתם של נכסים שונים.</t>
  </si>
  <si>
    <r>
      <t>הנכס הראשון שנעסוק במדידתו הוא נכס ה</t>
    </r>
    <r>
      <rPr>
        <b/>
        <sz val="12"/>
        <color theme="1"/>
        <rFont val="David"/>
      </rPr>
      <t>לקוחות</t>
    </r>
    <r>
      <rPr>
        <sz val="12"/>
        <color theme="1"/>
        <rFont val="David"/>
      </rPr>
      <t xml:space="preserve">. </t>
    </r>
  </si>
  <si>
    <t>לקוחות - הגדרה:</t>
  </si>
  <si>
    <t>נכס הלקוחות הוא נכס המשקף את חוב לקוחות החברה כלפיה.</t>
  </si>
  <si>
    <t>ההטבה הגלומה בנכס הלקוחות נובעת מהציפייה הטבעית שחוב הלקוחות כלפי החברה יסולק בדרך של גבייה על ידה.</t>
  </si>
  <si>
    <t>נשאלת השאלה - ומה במקרים שבהם הגבייה איננה צפויה להתבצע?</t>
  </si>
  <si>
    <t>מה אם הלקוח חווה קשיים פיננסיים? לא מצליח לשלם? וכיו״ב.</t>
  </si>
  <si>
    <t>אנו טוענים שפגיעה ביכולת הגבייה מלקוחות משמעה פגיעה בהטבות הכלכליות הצפויות מהלקוח - קרי הקטנת נכס</t>
  </si>
  <si>
    <t>הלקוחות.</t>
  </si>
  <si>
    <t>אופן מדידת הלקוחות (נטו) בדוח על המצב הכספי (מאזן):</t>
  </si>
  <si>
    <t>אנו נדאג למדוד את הלקוחות לפי ההפרש בין הלקוחות ברוטו (המייצגים את סך חוב הלקוחות של החברה כלפיה)</t>
  </si>
  <si>
    <t>לבין רכיב החוב הבעייתי.</t>
  </si>
  <si>
    <t>כהמחשה פשוטה, נניח שחוב לקוחות החברה כלפיה 100,000 ש״ח, אך על פי תחשיב שביצענו אנו משערים ש-20,000 ש״ח</t>
  </si>
  <si>
    <t>לא ייגבו, הלקוחות נטו יוצגו בדוח על המצב הכספי כדלקמן:</t>
  </si>
  <si>
    <t>לקוחות, ברוטו</t>
  </si>
  <si>
    <t>הלח״מ</t>
  </si>
  <si>
    <t>לקוחות, נטו - לנכסים במאזן</t>
  </si>
  <si>
    <t>הפרשה לחובות מסופקים = הלח״מ, חוב שגבייתו מוטלת בספק (בסיכון)</t>
  </si>
  <si>
    <t xml:space="preserve">ש״ח </t>
  </si>
  <si>
    <t>אפשר תרגיל שלם? ברמת בחינה?</t>
  </si>
  <si>
    <t>כן.</t>
  </si>
  <si>
    <t>להלן נתונים ועסקאות שהתרחשו בחברה במועדים שונים:</t>
  </si>
  <si>
    <t>א. במהלך 2020 ביצעה החברה מכירות בהיקף של 1,000,000 ש״ח. מתוך סכום מכירות כולל זה, מכירות בסך</t>
  </si>
  <si>
    <t>של 800,000 ש״ח בוצעו במזומן, והיתר באשראי.</t>
  </si>
  <si>
    <t>ב. במהלך 2020 ביצעה החברה גבייה מלקוחות אשר להם מכרה באשראי, בסכום של 70,000 ש״ח.</t>
  </si>
  <si>
    <t xml:space="preserve">ג. נכון ליום 31.12.2020 שיעור ההלח״מ בחברה הוא 10%. </t>
  </si>
  <si>
    <t>ד. במהלך 2021 ביצעה החברה מכירות באשראי בהיקף של 500,000 ש״ח.</t>
  </si>
  <si>
    <t>ה. במהלך 2021 גבתה החברה מלקוחות סכום של 320,000 ש״ח.</t>
  </si>
  <si>
    <t>ז. נכון ליום 31.12.2021 שיעור ההלח״מ בחברה נותר על 10%.</t>
  </si>
  <si>
    <t>ו. במהלך 2021 התגלו ונרשמו חובות אבודים בסך 4,000 ש״ח.</t>
  </si>
  <si>
    <t>נדרש: חשבו את יתרת הלקוחות נטו ואת הוצאות ההלח״מ. בתשובתכם, התייחסו למילוי הכרטיסים הבאים:</t>
  </si>
  <si>
    <t>הוצאות הלח״מ</t>
  </si>
  <si>
    <t>פרטים</t>
  </si>
  <si>
    <t xml:space="preserve">חברת ״ניסיון הטמעה״ הוקמה ב-1.1.2020. החברה עוסקת במגוון רחב של פעילויות עסקיות. </t>
  </si>
  <si>
    <t>א. במהלך 2020 ביצעה החברה מכירות בהיקף של 1,000,000 ש״ח באשראי.</t>
  </si>
  <si>
    <t>ב. במהלך 2020 ביצעה החברה גבייה מלקוחות בסכום של 900,000 ש״ח.</t>
  </si>
  <si>
    <t xml:space="preserve">ג. נכון ליום 31.12.2020 שיעור ההלח״מ בחברה הוא 8%. </t>
  </si>
  <si>
    <t>ד. במהלך 2021 ביצעה החברה מכירות באשראי בהיקף של 560,000 ש״ח.</t>
  </si>
  <si>
    <t>ה. במהלך 2021 גבתה החברה מלקוחות סכום של 180,000 ש״ח.</t>
  </si>
  <si>
    <t>ו. במהלך 2021 התגלו ונרשמו חובות אבודים בסך 2,000 ש״ח.</t>
  </si>
  <si>
    <t>ז. נכון ליום 31.12.2021 שיעור ההלח״מ בחברה מוערך ב-15%.</t>
  </si>
  <si>
    <t>לקוחות, נטו:</t>
  </si>
  <si>
    <t>ברוטו</t>
  </si>
  <si>
    <t>תרגיל 1 - שלם - ברמת בחינה - שדרכו נחדד גם את ההגדרות הנוספות (שי פותר)</t>
  </si>
  <si>
    <t>תרגיל 2 - שלם - לתרגול כיתתי משותף / עצמאי למחצה</t>
  </si>
  <si>
    <t>31.12.2020</t>
  </si>
  <si>
    <t xml:space="preserve">  31.12.2020</t>
  </si>
  <si>
    <t>הסבר - לגבי כרטיסים ב-31.12.2020:</t>
  </si>
  <si>
    <t>של אי גבייה הוא 13,000 = 10% * 130,000. הסכום הכולל של ההלח״מ תמיד בזכות - מייצג ״פגיעה״ בגבייה</t>
  </si>
  <si>
    <t>הצפויה (בנכסים).</t>
  </si>
  <si>
    <r>
      <rPr>
        <b/>
        <sz val="12"/>
        <color theme="1"/>
        <rFont val="David"/>
      </rPr>
      <t>ראשית</t>
    </r>
    <r>
      <rPr>
        <sz val="12"/>
        <color theme="1"/>
        <rFont val="David"/>
      </rPr>
      <t>, לתום כל שנה נחשב את יתרת הלקוחות ברוטו (חובה פחות זכות) - כך הגענו ל-130,000.</t>
    </r>
  </si>
  <si>
    <r>
      <rPr>
        <b/>
        <sz val="12"/>
        <color theme="1"/>
        <rFont val="David"/>
      </rPr>
      <t>שנית</t>
    </r>
    <r>
      <rPr>
        <sz val="12"/>
        <color theme="1"/>
        <rFont val="David"/>
      </rPr>
      <t xml:space="preserve">, על פי הנתונים, שיעור ההלח״מ הוא 10% (מיתרת הלקוחות ברוטו) כלומר סך ההלח״מ = סך החוב בסיכון </t>
    </r>
  </si>
  <si>
    <r>
      <rPr>
        <b/>
        <sz val="12"/>
        <color theme="1"/>
        <rFont val="David"/>
      </rPr>
      <t>שלישית</t>
    </r>
    <r>
      <rPr>
        <sz val="12"/>
        <color theme="1"/>
        <rFont val="David"/>
      </rPr>
      <t>, עלינו לשאול עצמנו: איזה חלק מתוך סך ההלח״מ לתום שנה - נובע מחוב בעייתי שנוצר השנה (2020)?</t>
    </r>
  </si>
  <si>
    <t>יתרת הלח״מ לתחילת שנה 1.1.2020:</t>
  </si>
  <si>
    <t>החברה רק הוקמה בתאריך זה, אין בה ״כלום״</t>
  </si>
  <si>
    <t>יתרת ההלח״מ לתום שנה 31.12.2020:</t>
  </si>
  <si>
    <t>הוצאות הלח״מ = החלק שנוצר השנה</t>
  </si>
  <si>
    <t>הסבר - חוב אבוד - סעיף ו:</t>
  </si>
  <si>
    <t>תמיד ולעולם רישום חוב אבוד מקבל ביטוי כקיטון בסכום החוב האבוד בשני חשבונות:</t>
  </si>
  <si>
    <t>בחשבון הלקוחות ברוטו (קיטון ב״זכות״):</t>
  </si>
  <si>
    <t>בחשבון ההלח״מ (קיטון ב״חובה״):</t>
  </si>
  <si>
    <t>31.12.2021</t>
  </si>
  <si>
    <t>הסבר - מדוע בסעיף ז רשמנו הלח״מ והוצ׳ הלח״מ בסך 21,600?</t>
  </si>
  <si>
    <t>ידוע שלתחילת 2021 (31.12.2020) יתרת ההלח״מ:</t>
  </si>
  <si>
    <t>בנוסף ידוע שבמהלך 2021 נוצר חוב אבוד שהקטין ההלח״מ ב:</t>
  </si>
  <si>
    <t>בנוסף ידוע שלתום 2021 - 31.12.2021, יתרת ההלח״מ:</t>
  </si>
  <si>
    <t>לכן, בהכרח נוצרו השנה 2021 חובות בעייתיים נוספים - הוצ׳ הלח״מ:</t>
  </si>
  <si>
    <t xml:space="preserve">30,600 - 9,000 = </t>
  </si>
  <si>
    <t>סיכום - תבנית עבודה וטיפים:</t>
  </si>
  <si>
    <t>לקוחות (ברוטו)</t>
  </si>
  <si>
    <t xml:space="preserve">הוצ׳ הלח״מ </t>
  </si>
  <si>
    <t>תחילת שנה</t>
  </si>
  <si>
    <t>מכירות
באשראי</t>
  </si>
  <si>
    <t>גבייה
מלקוחות</t>
  </si>
  <si>
    <t>חוב אבוד</t>
  </si>
  <si>
    <t>הוצ׳ הלח״מ</t>
  </si>
  <si>
    <t>סוף שנה</t>
  </si>
  <si>
    <t>יתרת סגירה:
חובה פחות
זכות</t>
  </si>
  <si>
    <t>כפול אחוז
הלח״מ</t>
  </si>
  <si>
    <t>סך הלח״מ
לסוף שנה</t>
  </si>
  <si>
    <t>מטרת על:</t>
  </si>
  <si>
    <t>לתרגל ולהראות מגוון ניסוחים רלוונטיים לשאלות בשני נושאים משמעותיים אלו (חתך והלח״מ).</t>
  </si>
  <si>
    <t xml:space="preserve">תרגיל 1: </t>
  </si>
  <si>
    <t>ב-1 בינואר 2014 חתמה חברה על הסכם שבמסגרתו תספק שירותים לחברה אחרת בשווי כולל של 600,000 ש״ח.</t>
  </si>
  <si>
    <t xml:space="preserve">השירות אמור להינתן במהלך שלוש שנים. </t>
  </si>
  <si>
    <t xml:space="preserve">ב. מהו סכום ההכנסה שתוכר בספרי החברה בכל אחת מהשנים. </t>
  </si>
  <si>
    <t>א. מהי פקודת היומן שתירשם בהנהלת החשבונות של החברה (על בסיס מזומן) - בכל שנה.</t>
  </si>
  <si>
    <t>ג. מהי פקודת ההתאמה / החתך בכל אחת מהשנים.</t>
  </si>
  <si>
    <t>ד. מהי יתרת החתך לתום כל אחת מהשנים.</t>
  </si>
  <si>
    <t>פקודת יומן - הנה״ח</t>
  </si>
  <si>
    <t>סכום הכנסה (פעילות)</t>
  </si>
  <si>
    <t>פ. התאמה</t>
  </si>
  <si>
    <t>יתרת חתך</t>
  </si>
  <si>
    <r>
      <t xml:space="preserve">בהנחה </t>
    </r>
    <r>
      <rPr>
        <u/>
        <sz val="12"/>
        <color theme="1"/>
        <rFont val="David"/>
      </rPr>
      <t>שתמורת העסקה התקבלה בשלמותה מיד במועד החתימה</t>
    </r>
    <r>
      <rPr>
        <sz val="12"/>
        <color theme="1"/>
        <rFont val="David"/>
      </rPr>
      <t xml:space="preserve"> על ההסדר, נדרש:</t>
    </r>
  </si>
  <si>
    <t>ח׳ מזומן 600,000</t>
  </si>
  <si>
    <t>ז׳ הכנסה 600,000</t>
  </si>
  <si>
    <t>1/3 * 600,000 = 200,000</t>
  </si>
  <si>
    <t>הכנסות מראש</t>
  </si>
  <si>
    <t>התחייבות</t>
  </si>
  <si>
    <t>ז׳ הכנסות מראש 400,000</t>
  </si>
  <si>
    <t>ח׳ הכנסות 400,000</t>
  </si>
  <si>
    <t>אין תשלום / אין רישום</t>
  </si>
  <si>
    <t>ח׳ הכנסות מראש 200,000</t>
  </si>
  <si>
    <t>ז׳ הכנסות 200,000</t>
  </si>
  <si>
    <t xml:space="preserve">תרגיל 2: </t>
  </si>
  <si>
    <t>בדיון סוער שנערך בחשבות החברה שבה אתם עובדים, נאמר על ידי החשב:</t>
  </si>
  <si>
    <t>״</t>
  </si>
  <si>
    <t>ברצוני להסב את לבכם, הנהלה יקרה, לכך שחל עיוות בהוצאות השכר והמשכורות המדווחות</t>
  </si>
  <si>
    <t xml:space="preserve">בדוח רווח והפסד. </t>
  </si>
  <si>
    <t>לפי נתוני הוצאות השכר שהגיעו לידיי, הן מסתכמות ב-44,000 ש״ח; אך נתון זה לא מביא בחשבון</t>
  </si>
  <si>
    <t>את שכר דצמבר השנה</t>
  </si>
  <si>
    <t>לעומתו, טען סמנכ״ל משאבי האנוש:</t>
  </si>
  <si>
    <t>אתה זה שטועה, חשב יקר. אנחנו נמצאים ב-31.12. המשמעות היא שמשכורות דצמבר טרם שולמו,</t>
  </si>
  <si>
    <t>ולכן, אין שום היגיון להכיר בהוצאות שכר נוספות בגין דצמבר (הן תשולמנה ב-10.1 של השנה הבאה) ״</t>
  </si>
  <si>
    <t>בהנחה שהוצאות השכר מתפלגות באופן אחיד על פני השנה:</t>
  </si>
  <si>
    <t>א. מי מהם צודק.</t>
  </si>
  <si>
    <t>ב. מהי פקודת היומן שנרשמה בהנהלת החשבונות בגין השכר המופיע במערכת.</t>
  </si>
  <si>
    <t>ג. האם נדרשת פקודת התאמה? במידה ולא, הסבירו מדוע. במידה וכן, רשמו אותה.</t>
  </si>
  <si>
    <t>פתרון תרגיל 2:</t>
  </si>
  <si>
    <t>א. מאד חשוב לזכור: הגורם שיקבע את גובה ההוצאה הוא שווי השירות שנצרך - ולא התשלום שבוצע.</t>
  </si>
  <si>
    <t>ספציפית לגבי שכר - כל עוד מדובר בשירות עבודה שניתן השנה, לא משנה בגין איזה חודש, ולא משנה מתי ישולם - ערכו הוא חלק</t>
  </si>
  <si>
    <t>מההוצאות השנה.</t>
  </si>
  <si>
    <t xml:space="preserve">ספציפית כאן: שכר דצמבר השנה חייב להירשם כחלק מהוצאות השנה בדוחות, גם אם טרם שולם. </t>
  </si>
  <si>
    <t>לכן החשב צודק.</t>
  </si>
  <si>
    <t xml:space="preserve">ב. בהנהלת החשבונות - רושמים פקודת יומן למתן ביטוי להוצאות השכר לפי הסכום ששולם בפועל. </t>
  </si>
  <si>
    <t>הואיל ונתון ששולמו בפועל במזומן 44,000 ש״ח, מנהל החשבונות ירשום את הפקודה:</t>
  </si>
  <si>
    <t>ח׳ הוצאות שכר 44,000</t>
  </si>
  <si>
    <t>ז׳ מזומן 44,000</t>
  </si>
  <si>
    <t>ג. פקודת התאמה - מטרתה לדאוג להתאים / לתקן את הוצאות השכר שנרשמו, לסכום הנכון שלהן, שמשקף את השכר</t>
  </si>
  <si>
    <t>לכל השנה, כולל דצמבר.</t>
  </si>
  <si>
    <t>על פי נתוני השאלה - הוצאות השכר ללא דצמבר:</t>
  </si>
  <si>
    <t>כלומר למספר חודשים (שנה, ללא דצמבר):</t>
  </si>
  <si>
    <t>לכן שכר לחודש אחד (התפלגות אחידה):</t>
  </si>
  <si>
    <t xml:space="preserve">44,000 / 11 = </t>
  </si>
  <si>
    <t>כעת, כשאנו יודעים מה השכר לחודש אחד (שמתאים גם לשכר דצמבר) נרשום הוצאות שכר נוספות</t>
  </si>
  <si>
    <t>גם עבור חודש זה - פקודת התאמה:</t>
  </si>
  <si>
    <t>ח׳ הוצאות שכר 4,000</t>
  </si>
  <si>
    <t>ז׳ הוצאות לשלם 4,000</t>
  </si>
  <si>
    <t>תרגיל 3:</t>
  </si>
  <si>
    <t>חברה חתמה על הסכם לביטוח המבנים שבבעלותה. עלות פוליסת הביטוח לשנה 100,000 ש״ח והיא בתוקף לשנה מה-1.3.2020.</t>
  </si>
  <si>
    <t xml:space="preserve">ב-1.3.2021 חודשה הפוליסה לשנה נוספת, בעלות של 80,000 ש״ח. </t>
  </si>
  <si>
    <t>א. מהי פקודת היומן שתירשם בהנהלת החשבונות בגין הביטוח בשנים 2020 ו-2021. הניחו שעל ביטוח משלמים תמיד במזומן במועד החתימה.</t>
  </si>
  <si>
    <t xml:space="preserve">ב. מהן הוצאות הביטוח שתכללנה בדוחות הכספיים בכל שנה. </t>
  </si>
  <si>
    <t xml:space="preserve">ג. מהי יתרת החתך לתום כל אחת מהשנים 2020 ו-2021. </t>
  </si>
  <si>
    <t xml:space="preserve">ד. מהי פקודת ההתאמה שתרשם בשנים 2020 ו-2021. </t>
  </si>
  <si>
    <t>פקודת הנה״ח (לפי מזומן)</t>
  </si>
  <si>
    <t>הוצאות ביטוח לדיווח</t>
  </si>
  <si>
    <t>פקודת ההתאמה</t>
  </si>
  <si>
    <t>יתרת החתך</t>
  </si>
  <si>
    <t>ח׳ הוצאות ביטוח 100,000</t>
  </si>
  <si>
    <t>ז׳ מזומן 100,000</t>
  </si>
  <si>
    <t>הוצ׳ מראש</t>
  </si>
  <si>
    <t>נכס</t>
  </si>
  <si>
    <t>ח׳ הוצ׳ מראש 16,667</t>
  </si>
  <si>
    <t>ז׳ הוצאות ביטוח 16,667</t>
  </si>
  <si>
    <t>ח׳ הוצאות ביטוח 80,000</t>
  </si>
  <si>
    <t xml:space="preserve">השתמשנו בחודשיים של </t>
  </si>
  <si>
    <t>החוזה הישן:</t>
  </si>
  <si>
    <t>100,000/12 * 2 = 16,667</t>
  </si>
  <si>
    <t>וגם ב-10 חודשים נוספים</t>
  </si>
  <si>
    <t>של החוזה החדש:</t>
  </si>
  <si>
    <t>80,000/12 * 10 = 66,667</t>
  </si>
  <si>
    <t>סה״כ שירות שנצרך:</t>
  </si>
  <si>
    <t xml:space="preserve">16,667 + 66,667 = </t>
  </si>
  <si>
    <r>
      <t>100,000/12 * 10 =</t>
    </r>
    <r>
      <rPr>
        <b/>
        <sz val="12"/>
        <color rgb="FFFF0000"/>
        <rFont val="David"/>
      </rPr>
      <t xml:space="preserve">  83,333</t>
    </r>
  </si>
  <si>
    <r>
      <t xml:space="preserve">ז׳ מזומן </t>
    </r>
    <r>
      <rPr>
        <b/>
        <sz val="12"/>
        <color rgb="FF0070C0"/>
        <rFont val="David"/>
      </rPr>
      <t>100,000</t>
    </r>
  </si>
  <si>
    <r>
      <t xml:space="preserve">ז׳ מזומן </t>
    </r>
    <r>
      <rPr>
        <b/>
        <sz val="12"/>
        <color rgb="FF0070C0"/>
        <rFont val="David"/>
      </rPr>
      <t>80,000</t>
    </r>
  </si>
  <si>
    <t>ז׳ הוצאות מראש 3,334</t>
  </si>
  <si>
    <t>ח׳ הוצאות ביטוח 3,334</t>
  </si>
  <si>
    <t>תרגיל 4:</t>
  </si>
  <si>
    <t xml:space="preserve">אבנר מעוניין להגשים את חלומו בתור עובד דלפק במקדולנדס. </t>
  </si>
  <si>
    <t>הוא הגיע להסדר ייחודי מול סניף מגידו שמאפשר לו לקבל את השכר בהסדר כדלקמן:</t>
  </si>
  <si>
    <t>אבנר יתחיל לעבוד ב-1.4.2020. את שכרו בגין שנת עבודה מלאה ראשונה (12 חודשים) יקבל רק בתום אותה שנה שלמה.</t>
  </si>
  <si>
    <t>השכר שיקבל ב-1.4.2021 יהיה 40,000 ש״ח.</t>
  </si>
  <si>
    <t>לאחר מכן, יחודש ההסכם של אבנר, ובמסגרתו יקבל 60,000 ש״ח כשכר עבודה מיד במועד החידוש (1.4.2021) לשנה.</t>
  </si>
  <si>
    <t>רשמו את פקודות היומן למתן ביטוי להוצאות השכר בהנהלת החשבונות של סניף מגידו, כולל פקודות התאמה ויתרות חתך.</t>
  </si>
  <si>
    <t>פקודה בהנה״ח</t>
  </si>
  <si>
    <t>סך הוצאות שכר</t>
  </si>
  <si>
    <t>אין תשלום - אין רישום</t>
  </si>
  <si>
    <t xml:space="preserve">אבנר מקבל - </t>
  </si>
  <si>
    <t>גם את השכר שחייבים לו</t>
  </si>
  <si>
    <t>על שנת העבודה הראשונה:</t>
  </si>
  <si>
    <t>וגם מראש את השכר עבור</t>
  </si>
  <si>
    <t>שנת העבודה הנוספת:</t>
  </si>
  <si>
    <t>ח׳ הוצאות שכר 100,000</t>
  </si>
  <si>
    <t>40,000/12 * 9 =</t>
  </si>
  <si>
    <t>בגין ינואר, פברואר, מרס:</t>
  </si>
  <si>
    <t>מועסק לפי חוזה ישן:</t>
  </si>
  <si>
    <t>40,000/12 * 3 =</t>
  </si>
  <si>
    <t>בגין אפריל-דצמבר:</t>
  </si>
  <si>
    <t>מועסק לפי חוזה חדש:</t>
  </si>
  <si>
    <t xml:space="preserve">60,000/12 * 9 = </t>
  </si>
  <si>
    <t>סה״כ הוצ׳:</t>
  </si>
  <si>
    <t>הוצ׳ לשלם:</t>
  </si>
  <si>
    <t>הוצ׳ מראש:</t>
  </si>
  <si>
    <t>ח׳ הוצאות שכר 30,000</t>
  </si>
  <si>
    <t>ז׳ הוצאות לשלם 30,000</t>
  </si>
  <si>
    <t>ח׳ הוצאות לשלם 30,000</t>
  </si>
  <si>
    <t>ז׳ הוצאות שכר 45,000</t>
  </si>
  <si>
    <t>ח׳ הוצאות מראש 15,000</t>
  </si>
  <si>
    <t xml:space="preserve">     נכס</t>
  </si>
  <si>
    <t>תרגיל 5</t>
  </si>
  <si>
    <t>בחברה ידועים הנתונים הבאים:</t>
  </si>
  <si>
    <t xml:space="preserve">יתרת הלקוחות ברוטו ליום 31.12.2020 היא 40,000 ש״ח. </t>
  </si>
  <si>
    <t>שיעור ההלח״מ קבוע - 5%.</t>
  </si>
  <si>
    <t xml:space="preserve">במהלך 2021, החברה ביצעה מכירות באשראי בהיקף של 100,000 ש״ח, גבתה מלקוחות 80,000 ש״ח וכן נתגלו חובות אבודים </t>
  </si>
  <si>
    <t>בהיקף של 1,000 ש״ח.</t>
  </si>
  <si>
    <t xml:space="preserve">נדרש: </t>
  </si>
  <si>
    <t xml:space="preserve">א. יתרת הלקוחות ברוטו ליום 31.12.2021. </t>
  </si>
  <si>
    <t xml:space="preserve">ב. יתרת ההלח״מ ליום 31.12.2021. </t>
  </si>
  <si>
    <t xml:space="preserve">ג. יתרת הלקוחות נטו ליום 31.12.2021. </t>
  </si>
  <si>
    <t xml:space="preserve">ד. הוצאות ההלח״מ לשנת 2021. </t>
  </si>
  <si>
    <t>תזכורת: הלח״מ = הפרשה לחובות מסופקים = חוב בעייתי (שבסיכון, כנראה לא ייגבה)</t>
  </si>
  <si>
    <t>תזכורת: לקוחות ברוטו בניכוי הלח״מ.</t>
  </si>
  <si>
    <t>ערך מחולץ.</t>
  </si>
  <si>
    <t>מכירה 2021</t>
  </si>
  <si>
    <t>גבייה 2021</t>
  </si>
  <si>
    <t>חוב אבוד 2021</t>
  </si>
  <si>
    <t>פתרון א</t>
  </si>
  <si>
    <t>פתרון ב</t>
  </si>
  <si>
    <t>פתרון ד</t>
  </si>
  <si>
    <t>לקוחות, ברוטו:</t>
  </si>
  <si>
    <t>פתרון ג</t>
  </si>
  <si>
    <t>שלבי העבודה:</t>
  </si>
  <si>
    <t xml:space="preserve">א. הצבנו את יתרת הלקוחות ברוטו לתחילת התקופה בחובה, ומתוכה חישבנו הלח״מ לתחילת תקופה בזכות. </t>
  </si>
  <si>
    <t>ב. מציבים מכירות באשראי בחובה בלקוחות ברוטו, גבייה בזכות בלקוחות ברוטו.</t>
  </si>
  <si>
    <t>ג. חוב אבוד: מוצב בזכות בלקוחות ברוטו, ובחובה בהלח״מ.</t>
  </si>
  <si>
    <t>ד. מחשבים את יתרת הסגירה של הלקוחות ברוטו, וכופלים באחוז ההלח״מ כדי להגיע ליתרת ההלח״מ לתום שנה בזכות.</t>
  </si>
  <si>
    <t>ה. הערך המשלים את השינויים בהלח״מ ליתרת הסגירה של ההלח״מ (בצבע חום) הוא הוצאות ההלח״מ.</t>
  </si>
  <si>
    <t>תרגיל 6</t>
  </si>
  <si>
    <t>יתרת הלקוחות ברוטו ליום 31.12.2020 היא 100,000 ש״ח.</t>
  </si>
  <si>
    <t>במהלך 2021 בוצעו מכירות במזומן בסך 60,000 ש״ח וכן מכירות באשראי בסך 90,000 ש״ח.</t>
  </si>
  <si>
    <t>בנוסף, בוצעו ב-2021 גביות מלקוחות בהיקף 40,000 ש״ח.</t>
  </si>
  <si>
    <t xml:space="preserve">שיעור ההלח״מ ליום 31.12.2020 הוא 5%, וליום 31.12.2021 הוא 10%. </t>
  </si>
  <si>
    <t>במהלך 2021 התגלו חובות אבודים בהיקף של 4,000 ש״ח.</t>
  </si>
  <si>
    <t>שימו לב: הוצאות הלח״מ אינן הלח״מ.</t>
  </si>
  <si>
    <t>הוצאות הלח״מ הוא הערך שמשקף את השינוי בהלח״מ שמוביל ליתרת הסגירה המצטברת של ההלח״מ.</t>
  </si>
  <si>
    <t>עובדתית, יצאנו מהלח״מ של 5,000.</t>
  </si>
  <si>
    <t>עובדתית, נוצר חוב אבוד שהקטין ההלח״מ ב-4,000.</t>
  </si>
  <si>
    <t>ולכן, היינו ״אמורים״ להשאר עם הלח״מ של 1,000.</t>
  </si>
  <si>
    <t xml:space="preserve">אלא שעובדתית, על פי נתוני סוף שנה, ההלח״מ העדכני 14,600. </t>
  </si>
  <si>
    <t>זה אומר שחל גידול נוסף השנה בהלח״מ מ-1,000 ל-14,600: ב-13,600 ואלו הוצאות ההלח״מ.</t>
  </si>
  <si>
    <t>תרגיל 7 - קצר</t>
  </si>
  <si>
    <t>בחברה ידוע כי ל-31.12.2020 יתרת הלקוחות ברוטו היא 100,000 ש״ח.</t>
  </si>
  <si>
    <t>ל-31.12.2021 יתרת הלקוחות ברוטו היא 150,000 ש״ח.</t>
  </si>
  <si>
    <t xml:space="preserve">שיעור ההלח״מ הוא 10%. </t>
  </si>
  <si>
    <t>במהלך 2021 נוצר חוב אבוד בסך 4,000 ש״ח.</t>
  </si>
  <si>
    <t>נדרש: מהן הוצאות ההלח״מ לשנת 2021?</t>
  </si>
  <si>
    <t xml:space="preserve">א. 9,000 ש״ח </t>
  </si>
  <si>
    <t>ב. 15,000 ש״ח</t>
  </si>
  <si>
    <t>ג. 5,000 ש״ח</t>
  </si>
  <si>
    <t>ד. 6,000 ש״ח</t>
  </si>
  <si>
    <t>ה. אין אף תשובה נכונה</t>
  </si>
  <si>
    <t>לא ידוע</t>
  </si>
  <si>
    <t>התשובה: א</t>
  </si>
  <si>
    <t>תרגיל 8 - קצר</t>
  </si>
  <si>
    <t>להלן נתונים בדבר יתרת הלקוחות ברוטו בחברה למועדים שונים:</t>
  </si>
  <si>
    <t>31.12.2022</t>
  </si>
  <si>
    <t>שיעור הלח״מ</t>
  </si>
  <si>
    <t>חובות אבודים</t>
  </si>
  <si>
    <t>נדרש: מהן הוצאות ההלח״מ לשנת 2022?</t>
  </si>
  <si>
    <t>א. 55,000</t>
  </si>
  <si>
    <t>ב. 50,000</t>
  </si>
  <si>
    <t>ג. 45,000</t>
  </si>
  <si>
    <t>ד. 60,000</t>
  </si>
  <si>
    <t>ה. יש יותר מדי נתונים ולכן אין אפשרות לחשב</t>
  </si>
  <si>
    <t xml:space="preserve">התשובה: ג. </t>
  </si>
  <si>
    <t>תאריך</t>
  </si>
  <si>
    <t>יח׳</t>
  </si>
  <si>
    <t>עלות יח׳</t>
  </si>
  <si>
    <t>מחיר יח׳</t>
  </si>
  <si>
    <t>תיאור</t>
  </si>
  <si>
    <t>קניה</t>
  </si>
  <si>
    <t>מכירה</t>
  </si>
  <si>
    <t>בניכוי עלויות השלמה</t>
  </si>
  <si>
    <t>בניכוי עלויות מכירה</t>
  </si>
  <si>
    <t>מכירות:</t>
  </si>
  <si>
    <t>מלאי פתיחה וקניות</t>
  </si>
  <si>
    <t>במפגשים הקודמים, דיברנו על נכסים שוטפים.</t>
  </si>
  <si>
    <t>למה הכוונה ב״נכסים שוטפים״?</t>
  </si>
  <si>
    <t>אלו הם נכסים שפרק הזמן הצפוי עד למימושם (עד לקבלת ההטבה הגלומה בהם) שנה או פחות.</t>
  </si>
  <si>
    <t>א. לקוחות - זהו נכס שוטף, הואיל ובדרך כלל, צופים לקבל את ההטבה הכלכלית (לגבות מהלקוח) בתוך שנה או פחות.</t>
  </si>
  <si>
    <t>רקע - נכסים שוטפים:</t>
  </si>
  <si>
    <r>
      <t xml:space="preserve">במפגש הנוכחי - הדוגמא הנפוצה ביותר לנכסים </t>
    </r>
    <r>
      <rPr>
        <b/>
        <sz val="12"/>
        <color theme="1"/>
        <rFont val="David"/>
      </rPr>
      <t>לא</t>
    </r>
    <r>
      <rPr>
        <sz val="12"/>
        <color theme="1"/>
        <rFont val="David"/>
      </rPr>
      <t xml:space="preserve"> שוטפים:</t>
    </r>
  </si>
  <si>
    <t>נכסים לא שוטפים, באופן כללי, הם נכסים שפרק הזמן הצפוי עד מימושם ארוך משנה אחת.</t>
  </si>
  <si>
    <r>
      <t xml:space="preserve">הדוגמא הבולטת שבה נעסוק במפגש זה ובמפגש הבא היא </t>
    </r>
    <r>
      <rPr>
        <b/>
        <sz val="12"/>
        <color theme="1"/>
        <rFont val="David"/>
      </rPr>
      <t>רכוש קבוע</t>
    </r>
    <r>
      <rPr>
        <sz val="12"/>
        <color theme="1"/>
        <rFont val="David"/>
      </rPr>
      <t>.</t>
    </r>
  </si>
  <si>
    <t>רכוש קבוע - הגדרה:</t>
  </si>
  <si>
    <t>זהו נכס שמקיים שני תנאים מצטברים:</t>
  </si>
  <si>
    <t xml:space="preserve">א. צפוי שפרק הזמן לשימוש בו יעלה על שנה. </t>
  </si>
  <si>
    <t>ב. הפריט הוא בעל קיום פיסי (מוחשי).</t>
  </si>
  <si>
    <t>דנקנר העיר את תשומת לבנו: כדי לעמוד בהגדרת רכוש קבוע, נדרש צפי שימוש ארוך טווח. במלים פשוטות: אם חברה</t>
  </si>
  <si>
    <t>קונה מכונית במטרה להשתמש בה פחות משנה, זה לא יהיה רכוש קבוע מבחינתה.</t>
  </si>
  <si>
    <t>כיצד נמדוד (נקבע סכום כספי) של פריט רכוש קבוע בדוחות הכספיים?</t>
  </si>
  <si>
    <t>בקורס הנוכחי נציג את המודל הבסיסי ביותר למדידת פריטי רכוש קבוע, שנקרא ״מודל העלות״.</t>
  </si>
  <si>
    <t>על פי מודל זה, פריט רכוש קבוע יוצג בכל תאריך דיווח לפי ההפרש:</t>
  </si>
  <si>
    <t>עלותו</t>
  </si>
  <si>
    <t>פחת נצבר</t>
  </si>
  <si>
    <t>ערך ספרים (נטו) - יוצג במאזן</t>
  </si>
  <si>
    <t>פחת נצבר (*)</t>
  </si>
  <si>
    <t>הפחת הנצבר הוא ערך המשקף בקירוב את החלק היחסי מעלות הפריט אשר נצרך, במצטבר, עד</t>
  </si>
  <si>
    <t>למועד הדיווח.</t>
  </si>
  <si>
    <t>תרגיל 1 - הדגמה לגבי פחת נצבר וערך ספרים</t>
  </si>
  <si>
    <t>חברת ״מורן״ בע״מ (להלן: ״החברה״) רכשה מכונה לחימום נקניקיות לעובדי המשרד. עלות המכונה 100,000 ש״ח,</t>
  </si>
  <si>
    <t>ואורך החיים השימושיים שלה 10 שנים. הניחו כי שווי המכונה בתום 10 השנים צפוי להיות 0. בהנחה שהמכונה נרכשה</t>
  </si>
  <si>
    <t>פתרון:</t>
  </si>
  <si>
    <t>הבסיס למדידה - הוא העלות הראשונית. כלומר, אם היינו מפיקים דוחות</t>
  </si>
  <si>
    <t>כספיים מיד במועד הרכישה - היינו מציגים את המכונה לחימום נקניק</t>
  </si>
  <si>
    <t>בסכום של 100,000 ש״ח.</t>
  </si>
  <si>
    <t>אלא שלאור העובדה שאורך החיים של המכונה מוגבל, יש לדאוג לייצר</t>
  </si>
  <si>
    <t>התייחסות כספית ל״שחיקה״ או ל״בלאי״ השיטתיים במכונה לאורך השנים.</t>
  </si>
  <si>
    <r>
      <t xml:space="preserve">כברירת </t>
    </r>
    <r>
      <rPr>
        <b/>
        <sz val="12"/>
        <color theme="1"/>
        <rFont val="David"/>
      </rPr>
      <t>מחדל</t>
    </r>
    <r>
      <rPr>
        <sz val="12"/>
        <color theme="1"/>
        <rFont val="David"/>
      </rPr>
      <t xml:space="preserve"> - הפחת השנתי קבוע - מצב כזה נקרא ״פחת בשיטת הקו הישר״. </t>
    </r>
  </si>
  <si>
    <t>המשמעות החישובית - בכל שנה, מחשבים את השחיקה / את הבלאי / הפחת לפי הנוסחה:</t>
  </si>
  <si>
    <t>מקרא:</t>
  </si>
  <si>
    <t>D</t>
  </si>
  <si>
    <t>הוצאות פחת לשנה שלמה</t>
  </si>
  <si>
    <t>I0</t>
  </si>
  <si>
    <t>עלות פריט הרכוש הקבוע</t>
  </si>
  <si>
    <t>IG</t>
  </si>
  <si>
    <t>ערך שייר / גרט - השווי הצפוי לפריט בסיום חייו</t>
  </si>
  <si>
    <t>n</t>
  </si>
  <si>
    <t>אורך החיים השימושיים בשנים</t>
  </si>
  <si>
    <r>
      <t xml:space="preserve">הוצאות פחת / בלאי / שחיקה </t>
    </r>
    <r>
      <rPr>
        <b/>
        <u/>
        <sz val="12"/>
        <color theme="1"/>
        <rFont val="David"/>
      </rPr>
      <t>לשנה</t>
    </r>
    <r>
      <rPr>
        <b/>
        <sz val="12"/>
        <color theme="1"/>
        <rFont val="David"/>
      </rPr>
      <t>:</t>
    </r>
  </si>
  <si>
    <t xml:space="preserve">כדי לבחון באיזה סכום כספי יוצג הפריט נטו כנכס במאזן, נצטרך להתייחס לעלות המקורית בשלמותה, </t>
  </si>
  <si>
    <t>וכן לפחת נצבר:</t>
  </si>
  <si>
    <t>עלות</t>
  </si>
  <si>
    <t>ערך ספרים</t>
  </si>
  <si>
    <t>ערך ספרים נקרא לעתים גם ״עלות מופחתת״ או ״רכוש קבוע, נטו״.</t>
  </si>
  <si>
    <t>תרגיל 2 - סוגיית קביעת העלות, פחת על שנים לא שלמות, מכירה ורווח / הפסד הון</t>
  </si>
  <si>
    <t xml:space="preserve">חברה מעוניינת לרכוש מכונה חדשנית מאד שיודעת לחמם </t>
  </si>
  <si>
    <t>גם נקניק וגם לחמניה. מחיר המחירון של המכונה היוקרתית</t>
  </si>
  <si>
    <t>לפי קטלוג היבואן הוא 200,000 ש״ח, אך היא מוצעת כעת</t>
  </si>
  <si>
    <t>במבצע Black Friday ב-40% הנחה.</t>
  </si>
  <si>
    <t>על מנת לרכוש את המכונה, נדרשת החברה לשלם מכס</t>
  </si>
  <si>
    <t>ומסי קניה בסך 20,000 ש״ח, הובלה בסך 15,000 ש״ח,</t>
  </si>
  <si>
    <t>התקנה בסך 10,000 ש״ח, ובנוסף, בכל שנה ושנה, תצטרך</t>
  </si>
  <si>
    <t xml:space="preserve">החברה לשלם עלויות אחזקה לניקוי שאריות סחוסים </t>
  </si>
  <si>
    <t xml:space="preserve">בעלות 4,000 ש״ח. </t>
  </si>
  <si>
    <t>המכונה נרכשה ב-1.1.2013, הגיעה לחברה ב-1.3.2013</t>
  </si>
  <si>
    <t>החברה צופה שאורך החיים השימושיים של המכונה יהיה 10 שנים.</t>
  </si>
  <si>
    <t>של העובדים, נמכרה המכונה בתמורה ל-25,000 ש״ח.</t>
  </si>
  <si>
    <t>נדרש: מלאו את הטבלה הבאה:</t>
  </si>
  <si>
    <t>הוצאות פחת</t>
  </si>
  <si>
    <t>עלות (*)</t>
  </si>
  <si>
    <t xml:space="preserve">עלות: </t>
  </si>
  <si>
    <t>עלות פריט רכוש קבוע תכלול:</t>
  </si>
  <si>
    <t>א. עלות רכישה ״ישירה״ נטו (בהתחשב בהנחות והחזרים ככל שנוצרו).</t>
  </si>
  <si>
    <r>
      <t xml:space="preserve">ב. כל עלות נוספת </t>
    </r>
    <r>
      <rPr>
        <b/>
        <sz val="12"/>
        <color theme="1"/>
        <rFont val="David"/>
      </rPr>
      <t>חד פעמית</t>
    </r>
    <r>
      <rPr>
        <sz val="12"/>
        <color theme="1"/>
        <rFont val="David"/>
      </rPr>
      <t xml:space="preserve"> שהיא חיונית להבאתו למיקום ולמצב שמיש. </t>
    </r>
  </si>
  <si>
    <t>לפי נתוני השאלה: מחיר המחירון של המכונה היוקרתית</t>
  </si>
  <si>
    <t>עלות ראשונית</t>
  </si>
  <si>
    <t>בניכוי הנחה 40%</t>
  </si>
  <si>
    <t>בתוספת מכס ומס קניה</t>
  </si>
  <si>
    <t>הובלה</t>
  </si>
  <si>
    <t>התקנה</t>
  </si>
  <si>
    <t>שימו לב: בשונה מעלויות אחרות, עלות האחזקה כאן היא עלות שתיווצר כל שנה; היא לא עלות חד פעמית כדי ליצור</t>
  </si>
  <si>
    <t xml:space="preserve">את המכונה ולהתקינה, אלא עלות שימוש שוטפת - בדומה להוצאות חשמל, אחזקה וכיוצא בזה. עלויות כאלו, </t>
  </si>
  <si>
    <t>שיחזרו על עצמן שוב ושוב במהלך חיי המכונה, כעיקרון - אינן חלק מעלותה אלא הוצאה.</t>
  </si>
  <si>
    <t>סך עלות הפריט - חשבונאית</t>
  </si>
  <si>
    <t>החיים השימושיים, ולא מחיר המכירה בפועל. אלא אם נאמר אחרת, יש להניח שהשווי הצפוי</t>
  </si>
  <si>
    <r>
      <t xml:space="preserve">עבור כל </t>
    </r>
    <r>
      <rPr>
        <u/>
        <sz val="12"/>
        <color theme="1"/>
        <rFont val="David"/>
      </rPr>
      <t>שנה שלמה (12 חודשים)</t>
    </r>
    <r>
      <rPr>
        <sz val="12"/>
        <color theme="1"/>
        <rFont val="David"/>
      </rPr>
      <t xml:space="preserve"> הוצאות הפחת מחושבות לפי הנוסחה:</t>
    </r>
  </si>
  <si>
    <t>על פי נתוני השאלה:</t>
  </si>
  <si>
    <r>
      <t xml:space="preserve">והפכה לזמינה לשימוש ב-1.5.2013 </t>
    </r>
    <r>
      <rPr>
        <b/>
        <sz val="12"/>
        <color rgb="FFFF0000"/>
        <rFont val="David"/>
      </rPr>
      <t>[שימו לב! ההפחתה מתחילה רק כאשר הנכס זמין לשימוש!]</t>
    </r>
  </si>
  <si>
    <r>
      <t>כלומר: ב-</t>
    </r>
    <r>
      <rPr>
        <b/>
        <u/>
        <sz val="12"/>
        <color rgb="FF0070C0"/>
        <rFont val="David"/>
      </rPr>
      <t>2013</t>
    </r>
    <r>
      <rPr>
        <sz val="12"/>
        <color theme="1"/>
        <rFont val="David"/>
      </rPr>
      <t xml:space="preserve"> הפריט היה זמין לשימוש (ולכן יופחת) רק בתקופה 1.5.2013-31.12.2013 שהם 8 חודשים:</t>
    </r>
  </si>
  <si>
    <t>(***)</t>
  </si>
  <si>
    <t>התייחסות לשנת המכירה - 2017</t>
  </si>
  <si>
    <t>על פי נתוני השאלה: המכונה נרכשה ב-1.1.2013</t>
  </si>
  <si>
    <r>
      <rPr>
        <b/>
        <u/>
        <sz val="12"/>
        <color rgb="FF000000"/>
        <rFont val="David"/>
      </rPr>
      <t>בחלוף 4 וחצי שנים ממועד הרכישה</t>
    </r>
    <r>
      <rPr>
        <sz val="12"/>
        <color rgb="FF000000"/>
        <rFont val="David"/>
      </rPr>
      <t xml:space="preserve">, בעקבות הרעלות קיבה מרובות </t>
    </r>
  </si>
  <si>
    <r>
      <t xml:space="preserve">של העובדים, </t>
    </r>
    <r>
      <rPr>
        <b/>
        <u/>
        <sz val="12"/>
        <color rgb="FF000000"/>
        <rFont val="David"/>
      </rPr>
      <t>נמכרה המכונה בתמורה ל-25,000 ש״ח.</t>
    </r>
  </si>
  <si>
    <t>כלומר: המכונה נמכרה ב-1.7.2017, מה שמשקף פחת של חצי שנה בלבד (6 חודשים) בשנה זו.</t>
  </si>
  <si>
    <t>״עזר״</t>
  </si>
  <si>
    <t>חישוב רווח / הפסד הון ב-2017</t>
  </si>
  <si>
    <t>במועד מכירתו של פריט רכוש קבוע, יש להכיר ברווח או בהפסד הון, בהתאם להפרש שבין תמורת</t>
  </si>
  <si>
    <t>המכירה לבין ערך הספרים ״ערב המכירה״ (רגע לפני שנמכר):</t>
  </si>
  <si>
    <t>תמורה - נתונה</t>
  </si>
  <si>
    <t>ערך ספרים ״ערב המכירה״ - 1.7.2017</t>
  </si>
  <si>
    <t>הפרש - הפסד הון</t>
  </si>
  <si>
    <t>הואיל והתמורה נמוכה מערך הספרים, נוצר הפרש שלילי שנקרא הפסד הון.</t>
  </si>
  <si>
    <t>אם התמורה היתה גבוהה מערך הספרים, היה נוצר הפרש חיובי שנקרא רווח הון.</t>
  </si>
  <si>
    <t>הפסד הון</t>
  </si>
  <si>
    <t>חשוב מאד - איפוס לאחר מכירה</t>
  </si>
  <si>
    <t xml:space="preserve">לאחר מכירת פריט רכוש קבוע, ערכו במאזן חייב להתאפס. כלומר, מאפסים גם את העלות, </t>
  </si>
  <si>
    <t xml:space="preserve">גם את הפחת שנצבר וגם את ערך הספרים של הנמכר (הפריט ״לא אצלי״). </t>
  </si>
  <si>
    <t>תרגיל 3 - תרגול נוסף של פחת קו ישר</t>
  </si>
  <si>
    <t xml:space="preserve">חברה רכשה את המחשב לעיל בגרסת הבסיס. בנוסף שילמה עבור הובלתו 301 ש״ח. </t>
  </si>
  <si>
    <t>עלויות החשמל השנתיות הן 1,000 ש״ח.</t>
  </si>
  <si>
    <t xml:space="preserve">המחשב נרכש ב-1.1.2014, אך הפך לזמין לשימוש ב-1.2.2014. </t>
  </si>
  <si>
    <t>אורך החיים השימושיים של המחשב הוא 5 שנים, וערך השייר / הגרט הצפוי בתום תקופה זו: 1,500 ש״ח.</t>
  </si>
  <si>
    <t>בתאריך 1.10.2016, לאור השקת המחשבים החדשים - Macbook Pro - החליטה החברה למכור את המחשב.</t>
  </si>
  <si>
    <t>המכירה בוצעה מיד באותו היום תמורת 3,200 ש״ח.</t>
  </si>
  <si>
    <t>נדרש: השלימו את כל הערכים בטבלה להלן:</t>
  </si>
  <si>
    <t>רווח הון</t>
  </si>
  <si>
    <t>סיכום שלבי פתרון התרגיל:</t>
  </si>
  <si>
    <t xml:space="preserve">בשלב ראשון, זיהינו את העלות. </t>
  </si>
  <si>
    <t>עלות פריט רכוש קבוע כוללת את עלות רכישתו - 4,199, וכל עלות נוספת עד שהוא מגיע לרשות החברה וזמין לשימוש.</t>
  </si>
  <si>
    <t>לכן, גם עלויות ההובלה הן חלק מהעלות - 301 ש״ח, וכך הגענו לעלות של 4,500 ש״ח.</t>
  </si>
  <si>
    <t>לגבי עלויות החשמל - זוהי עלות שימוש שחוזרת על עצמה, ולא עלות חד פעמית, לכן היא מהווה הוצאה ולא חלק</t>
  </si>
  <si>
    <t xml:space="preserve">מהנכס. </t>
  </si>
  <si>
    <t>בשלב שני, חישבנו את הוצאות הפחת. כזכור, כדי לחשב את הוצאות הפחת מתבססים על עלות (4,500) פחות ערך</t>
  </si>
  <si>
    <t xml:space="preserve">השייר / הגרט (1,500) ואת כל ההפרש הזה מחלקים בתקופת ההפחתה - 5 שנים. </t>
  </si>
  <si>
    <t>כך מקבלים הוצאות פחת לשנה שלמה:</t>
  </si>
  <si>
    <t>הואיל ובשנת 2014 הנכס היה זמין לשימוש 11 חודשים בלבד (מ-1.2.2014 עד 31.12.2014) הרי שהוצאות הפחת</t>
  </si>
  <si>
    <t>בשנת 2014 לא תרשמנה לשנה שלמה אלא ל-11 חודשים בלבד:</t>
  </si>
  <si>
    <t>בשנת 2016, הפריט נמכר ב-1.10.2016. לכן, היה ברשות החברה 9 חודשים בלבד (1.1.2016-1.10.2016):</t>
  </si>
  <si>
    <t>ערב מכירת פריט הרכוש הקבוע, מדובר בפריט שעלותו: 4,500, שהפחת הנצבר בגינו עד וכולל 1.10.2016 הוא 1,600,</t>
  </si>
  <si>
    <t>ולכן העלות המופחתת ״ערב המכירה״:</t>
  </si>
  <si>
    <t>4,500 - 1,600 = 2,900</t>
  </si>
  <si>
    <t>כדי לחשב את רווח / הפסד ההון, חישבנו את ההפרש בין תמורת המכירה הנתונה בסך 3,200 ש״ח לבין ערך הספרים</t>
  </si>
  <si>
    <t>ערב המכירה, והואיל וההפרש חיובי, מדובר ברווח הון:</t>
  </si>
  <si>
    <t>הפרש חיובי - רווח הון</t>
  </si>
  <si>
    <t>לבסוף - זכרנו שלאחר המכירה הפריט מתאפס מערך הספרים - גם העלות, גם הפחת הנצבר.</t>
  </si>
  <si>
    <t>סיכום ביניים למפגש:</t>
  </si>
  <si>
    <t>למדנו על משמעותו של רכוש קבוע, מה הוא מייצג, והעובדה שכדי למדוד אותו, נתבסס על רישום הוצאות פחת</t>
  </si>
  <si>
    <t>ופחת נצבר. השיטה היחידה שהצגנו לחישוב הפחת היתה קו ישר, שמניחה שהוצאות הפחת הן קבועות.</t>
  </si>
  <si>
    <t>במפגש הבא, נמשיך ונשכלל סוגיה זו, ונעסוק גם בשיטות פחת נוספות, שמייצגות טכניקות אחרות לצריכת</t>
  </si>
  <si>
    <t>ההטבות הגלומות בנכס.</t>
  </si>
  <si>
    <t>מטרותינו:</t>
  </si>
  <si>
    <t>א. להמשיך ולחדד אופן מדידת רכוש קבוע, הוצאות פחת, פחת נצבר, ערך ספרים והשפעות המימוש / המכירה.</t>
  </si>
  <si>
    <t xml:space="preserve">בתאריך 1.1.2017 רכשה חברת ״חכאאאאי״ בע״מ (להלן: ״החברה״) מחשב מקבוק למנכ״ל בעלות של 4,000 ש״ח. </t>
  </si>
  <si>
    <t>ידוע כי המחשב הגיע לרשותה של החברה בתאריך 1.2.2017, אך מתוקף הרצון לבצע בדיקות שמישות וכיו״ב,</t>
  </si>
  <si>
    <t xml:space="preserve">הפך לזמין לשימוש במחלקת המחשבים בחברה ב-1.3.2017. המנכ״ל החל להשתמש במחשב רק ב-1.4.2017. </t>
  </si>
  <si>
    <t xml:space="preserve">אורך החיים השימושיים של המחשב הוא 5 שנים. ערך השייר המוגדר לו הוא 1,200 ש״ח, ושיטת הפחתתו היא </t>
  </si>
  <si>
    <t>הקו הישר.</t>
  </si>
  <si>
    <t>בתאריך 1.8.2020 נמכר המחשב במפתיע בעקבות רצונו של המנכ״ל להשתדרג בתמורה ל-1,900 ש״ח.</t>
  </si>
  <si>
    <t xml:space="preserve">נדרש: הציגו את כל היתרות המאזניות והתוצאתיות בגין הפריט כפי שתדווחנה בדוחות הכספיים </t>
  </si>
  <si>
    <t xml:space="preserve">לשנים: 2017, 2018, 2019, 2020. </t>
  </si>
  <si>
    <t>ערך ספרים / עלות מופחתת</t>
  </si>
  <si>
    <t>דיווח</t>
  </si>
  <si>
    <t>עזר - למכירה</t>
  </si>
  <si>
    <t>שלב 1</t>
  </si>
  <si>
    <t>שלב 2</t>
  </si>
  <si>
    <t>שלב 3</t>
  </si>
  <si>
    <t>שלב 4</t>
  </si>
  <si>
    <t>שלב 5</t>
  </si>
  <si>
    <t>הגדרת העלות:</t>
  </si>
  <si>
    <t>עלות פריט רכוש קבוע תכלול את עלות רכישתו בתוספת כל העלויות הנוספות, החד פעמיות באופיין, שנדרשות כדי</t>
  </si>
  <si>
    <t xml:space="preserve">עלויות שימוש שוטף שיחולו באופן מחזורי שוב ושוב (כגון דלק, אחזקה, חשמל וכיו״ב). </t>
  </si>
  <si>
    <r>
      <t xml:space="preserve">להביא את הפריט למיקום ולמצב שמיש. בין היתר, </t>
    </r>
    <r>
      <rPr>
        <b/>
        <sz val="12"/>
        <color theme="1"/>
        <rFont val="David"/>
      </rPr>
      <t>נכלול</t>
    </r>
    <r>
      <rPr>
        <sz val="12"/>
        <color theme="1"/>
        <rFont val="David"/>
      </rPr>
      <t xml:space="preserve"> - עלויות הובלה, התקנה, בדיקה מקדמית וכיו״ב, </t>
    </r>
    <r>
      <rPr>
        <b/>
        <sz val="12"/>
        <color theme="1"/>
        <rFont val="David"/>
      </rPr>
      <t>וללא</t>
    </r>
  </si>
  <si>
    <t>כאן: מדובר בעלות רכישה ראשונית בסך 4,000 ש״ח בתוספת הובלה 200 ש״ח.</t>
  </si>
  <si>
    <t>לאחר מכירה</t>
  </si>
  <si>
    <t>הנכס נעלם</t>
  </si>
  <si>
    <t>חישוב הוצאות פחת:</t>
  </si>
  <si>
    <t>נתחיל מלחשב את הוצאות הפחת לשנה שלמה, שבשיטת הקו הישר מחושבות לפי העלות, בניכוי השייר, וכל זה חלקי</t>
  </si>
  <si>
    <t>תקופת הפחתה:</t>
  </si>
  <si>
    <t xml:space="preserve">(4,200 - 1,200) / 5 = </t>
  </si>
  <si>
    <t>יחד עם זאת, בכל שנה ושנה, עלינו לבחון - האם הפחת היה לשנה שלמה או לחלק ממנה?</t>
  </si>
  <si>
    <t>נתחיל מ-2017:</t>
  </si>
  <si>
    <t>המחשב נרכש:</t>
  </si>
  <si>
    <t>1.1.2017</t>
  </si>
  <si>
    <t>הגיע לחברה:</t>
  </si>
  <si>
    <t>1.2.2017</t>
  </si>
  <si>
    <t>זמין לשימוש:</t>
  </si>
  <si>
    <t>1.3.2017</t>
  </si>
  <si>
    <t>החל שימוש בפועל:</t>
  </si>
  <si>
    <t>1.4.2017</t>
  </si>
  <si>
    <t>כאשר המטרה היא לגלות את המועד שממנו ואילך נרשמות הוצאות הפחת,</t>
  </si>
  <si>
    <r>
      <t xml:space="preserve">העיקרון המנחה יהיה: החל </t>
    </r>
    <r>
      <rPr>
        <b/>
        <u/>
        <sz val="12"/>
        <color theme="1"/>
        <rFont val="David"/>
      </rPr>
      <t>ממועד הזמינות לשימוש של הנכס</t>
    </r>
    <r>
      <rPr>
        <sz val="12"/>
        <color theme="1"/>
        <rFont val="David"/>
      </rPr>
      <t>.</t>
    </r>
  </si>
  <si>
    <t>הוצאות הפחת בשנת 2017:</t>
  </si>
  <si>
    <t xml:space="preserve">(600 / 12) * 10 = </t>
  </si>
  <si>
    <t>הוצאות הפחת בשנת 2018 - שנה שלמה:</t>
  </si>
  <si>
    <t>הוצאות הפחת בשנת 2019 - שנה שלמה:</t>
  </si>
  <si>
    <t>הוצאות הפחת בשנת 2020 - עד המכירה 1.8.2020:</t>
  </si>
  <si>
    <t xml:space="preserve">(600 / 12) * 7 = </t>
  </si>
  <si>
    <t>רווח / הפסד הון במכירה:</t>
  </si>
  <si>
    <t>רווח / הפסד ההון במכירת רכוש קבוע מוגדר בתור ההפרש בין תמורת המכירה לבין ערך הספרים של הפריט ערב</t>
  </si>
  <si>
    <t>מכירתו. ראינו שבערב המכירה - 1.8.2020:</t>
  </si>
  <si>
    <t>ערך הספרים</t>
  </si>
  <si>
    <t>תמורה - נתונה בשאלה</t>
  </si>
  <si>
    <t>הפרש שלילי - הפסד הון</t>
  </si>
  <si>
    <t xml:space="preserve">1,900 - 2,150 = </t>
  </si>
  <si>
    <t xml:space="preserve">בתאריך 1.1.2017 רכשה חברת ״אבנר״ בע״מ (להלן: ״החברה״) מחשב מקבוק Windows בעלות של 1,000 ש״ח. </t>
  </si>
  <si>
    <t>לעלות זו נדרשה החברה להוסיף עלויות הובלה בסך 50 ש״ח.</t>
  </si>
  <si>
    <t>כמו כן, ידוע כי:</t>
  </si>
  <si>
    <t xml:space="preserve">עלויות בדיקה והתקנות </t>
  </si>
  <si>
    <t>ש״ח</t>
  </si>
  <si>
    <t>הסרת רוגלות spyware</t>
  </si>
  <si>
    <t>צריכת חשמל שנתית</t>
  </si>
  <si>
    <t>אחזקה שנתית</t>
  </si>
  <si>
    <t>מנוי שנתי לאנטי וירוס</t>
  </si>
  <si>
    <t xml:space="preserve">ידוע כי המחשב הגיע לרשותה של החברה בתאריך 1.3.2017, חלק מההשמשה הסתיימה ב-1.3.2017, </t>
  </si>
  <si>
    <t>אך את הסרת הרוגלות הנדרשת לטובת העבודה השלימו רק ב-1.5.2017. מנכ״ל החברה מסרב להשתמש במחשב</t>
  </si>
  <si>
    <t xml:space="preserve">בטענה שהוא מעפן, ולכן ב-1.9.2017 החל השימוש במחשב על ידי עובד זוטר בחברה. </t>
  </si>
  <si>
    <t>המחשב מופחת בשיטת הקו הישר על פני 3 שנים ללא ערך שייר / גרט.</t>
  </si>
  <si>
    <t xml:space="preserve">בתאריך 1.1.2020 הושלך המחשב לפח האשפה. </t>
  </si>
  <si>
    <t>הסבר לגבי הוצאות הפחת ב-2017:</t>
  </si>
  <si>
    <t>עלות כוללת</t>
  </si>
  <si>
    <t>גרט / שייר</t>
  </si>
  <si>
    <t>פחת לשנה</t>
  </si>
  <si>
    <t xml:space="preserve">(1,500 - 0) / 3 = </t>
  </si>
  <si>
    <t>מועד זמינות</t>
  </si>
  <si>
    <t>1.5.2017</t>
  </si>
  <si>
    <t xml:space="preserve">יש לסיים את כל ההשמשה, לא רק חלק ממנה, כולל </t>
  </si>
  <si>
    <t>הסרת הרוגלות אשר כנתון נדרשת לשם העבודה.</t>
  </si>
  <si>
    <t>תקופת הפחתה בחודשים-2017</t>
  </si>
  <si>
    <t>לפרק הזמן 1.5.2017-31.12.2017</t>
  </si>
  <si>
    <t>סך הוצאות הפחת - 2017:</t>
  </si>
  <si>
    <t xml:space="preserve">(500 / 12) * 8 = </t>
  </si>
  <si>
    <t>תרגום</t>
  </si>
  <si>
    <t>פחת</t>
  </si>
  <si>
    <t>לחודש</t>
  </si>
  <si>
    <t>אחד</t>
  </si>
  <si>
    <t>פרק הזמן להפחתה</t>
  </si>
  <si>
    <t>בשנת 2017 הוא 8 חודשים</t>
  </si>
  <si>
    <t>הסבר לגבי הוצאות הפחת ב-2020:</t>
  </si>
  <si>
    <t xml:space="preserve">בשנת 2020, הפריט נמכר מיד בתחילת השנה. המשמעות היא שאין לרשום הוצאות פחת בגין שנה זו. </t>
  </si>
  <si>
    <t>הפסד ההון</t>
  </si>
  <si>
    <t>הסבר לגבי הפסד ההון ב-2020:</t>
  </si>
  <si>
    <t xml:space="preserve">בשאלה נאמר שב-1.1.2020 הפריט הושלך לפח האשפה. המשמעות: ״מכירה בתמורה אפס״. </t>
  </si>
  <si>
    <t xml:space="preserve">ולכן, חישוב ההפרש בין ה״תמורה״ (0) לבין ערך הספרים ערב המכירה (עמודת העזר) צפוי להיות </t>
  </si>
  <si>
    <t>שלילי ולייצג הפסד הון:</t>
  </si>
  <si>
    <t>תמורת מכירה</t>
  </si>
  <si>
    <t>ערך ספרים ערב המכירה</t>
  </si>
  <si>
    <t>ההפרש - שלילי: הפסד הון</t>
  </si>
  <si>
    <t>שאלה 3 - רכוש קבוע - הפחתה בשיטת סכום ספרות</t>
  </si>
  <si>
    <t>רקע:</t>
  </si>
  <si>
    <t>שיטת ההפחתה הנקראת ״סכום ספרות״ היא שיטה המניחה שקצב שחיקת הפחת על פני זמן איננו אחיד, אלא</t>
  </si>
  <si>
    <t>משתנה משנה לשנה.</t>
  </si>
  <si>
    <t>ההנחה הנפוצה ביותר היא שהפחת הוא גבוה בשנים הראשונות, והוא הולך וקטן בערכו השנתי בשנים העוקבות.</t>
  </si>
  <si>
    <t xml:space="preserve">מכאן הכינוי - פחת בשיטת ״סכום ספרות השנים היורד״ (סס״י). </t>
  </si>
  <si>
    <t>אפשר כמובן ליישם שיטת סכום ספרות שנים עולה, היא תהיה דומה מאד, אך בכיוון מתמטי הפוך. מבחינתנו,</t>
  </si>
  <si>
    <t>הדיון הכמותי יהיה בסכום ספרות יורד.</t>
  </si>
  <si>
    <t>אופן יישום השיטה - שלבים בחישוב הוצאות הפחת:</t>
  </si>
  <si>
    <t>שלב 1:</t>
  </si>
  <si>
    <t>חשבו את סכום הספרות לפי נוסחה מתמטית</t>
  </si>
  <si>
    <t>שלב 2:</t>
  </si>
  <si>
    <t>הקצו ספרה לכל שנה ושנה בסדר יורד, הספרה הראשונה זהה לתקופת ההפחתה n אך היא יורדת</t>
  </si>
  <si>
    <t>ביחידה אחת בכל שנה עוקבת.</t>
  </si>
  <si>
    <t>שלב 3:</t>
  </si>
  <si>
    <t>הוצאות הפחת לכל שנה ושנה מחושבות לפי היחס בין הספרה לבין סכום הספרות:</t>
  </si>
  <si>
    <t>השאלה:</t>
  </si>
  <si>
    <t>חברת ״ג׳וני שועלים״ בע״מ (להלן: ״החברה״) רכשה מכונה לחימום נקניקיות לעובדי המשרד בעלות של 5,000 ש״ח.</t>
  </si>
  <si>
    <t>אורך החיים השימושיים של המכונה לחימום נקניקיות הוא 8 שנים, וערך השייר / הגרט שלה הוא 1,000 ש״ח.</t>
  </si>
  <si>
    <t xml:space="preserve">המכונה מופחתת בשיטת סכום ספרות השנים היורד (סס״י), מועד רכישתה - 1.1.2017. </t>
  </si>
  <si>
    <t>בתאריך 30.9.2020 נמכרה המכונה במפתיע. תמורת המכירה הסתכמה ב-2,400 ש״ח.</t>
  </si>
  <si>
    <t>נדרש: הציגו את כל היתרות המאזניות והתוצאתיות בגין הפריט עבור כל אחת מהשנים שבהן הוחזר הנכס בחברה.</t>
  </si>
  <si>
    <t>הואיל ושיטת הפחת היא סכום ספרות השנים (היורד במקרה זה), יש לפעול במספר שלבים כדי להגיע להוצאות הפחת:</t>
  </si>
  <si>
    <t>במלים: כופלים את תקופת ההפחתה של הנכס (n), בערך הגדול ממנה ב-1, ומחלקים את המכפלה ב-2.</t>
  </si>
  <si>
    <t>תקופת ההפחתה פה היא 8 שנים, לכן נציב n=8 בנוסחה לעיל, ונקבל:</t>
  </si>
  <si>
    <t>הקצאת ספרה לכל שנה</t>
  </si>
  <si>
    <t xml:space="preserve">כאשר שיטת ההפחתה היא סכום הספרות, יש לבחון האם מדובר בספרות עולות או יורדות. </t>
  </si>
  <si>
    <t>במקרה זה, מדובר בסכום ספרות יורד. לכן, הקצאת הספרות תתחיל מהספרה הגבוהה ביותר n</t>
  </si>
  <si>
    <t>המייצגת את אורך חיי הנכס (8 שנים) ובכל שנת חיים עוקבת של הנכס, תקטן הספרה ביחידה אחת.</t>
  </si>
  <si>
    <t>31.12.2017</t>
  </si>
  <si>
    <t>31.12.2018</t>
  </si>
  <si>
    <t>31.12.2019</t>
  </si>
  <si>
    <t>30.9.2020</t>
  </si>
  <si>
    <t>n-1</t>
  </si>
  <si>
    <t>n-2</t>
  </si>
  <si>
    <t>n-3</t>
  </si>
  <si>
    <t>בעלות בניכוי השייר</t>
  </si>
  <si>
    <r>
      <rPr>
        <u/>
        <sz val="12"/>
        <color theme="1"/>
        <rFont val="David"/>
      </rPr>
      <t>הוצאות הפחת</t>
    </r>
    <r>
      <rPr>
        <sz val="12"/>
        <color theme="1"/>
        <rFont val="David"/>
      </rPr>
      <t xml:space="preserve"> בכל שנה תחושבנה לפי היחס בין הספרה לשנה לבין סכום הספרות - וכל זה - מוכפל</t>
    </r>
  </si>
  <si>
    <t>הספרה 8</t>
  </si>
  <si>
    <t>שרלוונטית ל-2017</t>
  </si>
  <si>
    <t xml:space="preserve">סכום </t>
  </si>
  <si>
    <t>הספרות</t>
  </si>
  <si>
    <t>שחושב</t>
  </si>
  <si>
    <t>לפי הנוסחה</t>
  </si>
  <si>
    <t>בשלב 1</t>
  </si>
  <si>
    <t>הספרה 7</t>
  </si>
  <si>
    <t>שרלוונטית ל-2018</t>
  </si>
  <si>
    <t>מס׳ החודשים ב-2020 עד המכירה: 9</t>
  </si>
  <si>
    <t>הספרה הכללית הרלוונטית ל-2020</t>
  </si>
  <si>
    <t>הואיל והפריט נמכר ב-30.9.2020</t>
  </si>
  <si>
    <t>הפחת הוא רק על חלק יחסי</t>
  </si>
  <si>
    <t>של 9 חודשים: 9/12</t>
  </si>
  <si>
    <t>טיפ כללי - לאו דווקא נדרש לשאלה:</t>
  </si>
  <si>
    <t>אם דורשים את הפחת הנצבר למועד מסויים במהירות האפשרית, ניתן להגיע אליו גם ללא חישוב הוצאות פחת לכל שנה</t>
  </si>
  <si>
    <t>בנפרד. איך נעשה זאת?</t>
  </si>
  <si>
    <t>מהירה ליום 30.9.2020:</t>
  </si>
  <si>
    <r>
      <t xml:space="preserve">במלים: מחברים </t>
    </r>
    <r>
      <rPr>
        <b/>
        <sz val="12"/>
        <color rgb="FFFF0000"/>
        <rFont val="David"/>
      </rPr>
      <t>במונה</t>
    </r>
    <r>
      <rPr>
        <sz val="12"/>
        <color theme="1"/>
        <rFont val="David"/>
      </rPr>
      <t xml:space="preserve"> של היחס </t>
    </r>
    <r>
      <rPr>
        <b/>
        <sz val="12"/>
        <color rgb="FFFF0000"/>
        <rFont val="David"/>
      </rPr>
      <t>את כל הספרות עד למועד הנדרש</t>
    </r>
    <r>
      <rPr>
        <sz val="12"/>
        <color theme="1"/>
        <rFont val="David"/>
      </rPr>
      <t>. אם למשל אנו רוצים לדעת מה הפחת הנצבר בצורה</t>
    </r>
  </si>
  <si>
    <t>חישוב רווח ההון:</t>
  </si>
  <si>
    <t>רווח ההון כזכור הוא הפרש חיובי בין תמורת המכירה לבין ערך הספרים / העלות המופחתת ערב המכירה.</t>
  </si>
  <si>
    <t>כאן:</t>
  </si>
  <si>
    <t>ערך הספרים 30.9.2020</t>
  </si>
  <si>
    <t>ההפרש החיובי - רווח הון</t>
  </si>
  <si>
    <t xml:space="preserve">2,400 - 2,249 = </t>
  </si>
  <si>
    <r>
      <t xml:space="preserve">תמורת המכירה </t>
    </r>
    <r>
      <rPr>
        <b/>
        <sz val="12"/>
        <color theme="1"/>
        <rFont val="David"/>
      </rPr>
      <t>הנתונה</t>
    </r>
  </si>
  <si>
    <t>שאלה 4 - הוצאות פחת בסכום ספרות יורד</t>
  </si>
  <si>
    <t>חברת ״סאלח״ בע״מ (להלן: ״החברה״) רכשה מכונה גדולה יותר לחימום נקניקיות לעובדי המשרד בעלות 60,000 ש״ח.</t>
  </si>
  <si>
    <t xml:space="preserve">אורך החיים השימושיים של המכונה לחימום נקניקיות הוא 10 שנים, ואין לה ערך שייר / גרט. </t>
  </si>
  <si>
    <t>בתאריך 1.4.2020 נמכרה המכונה במפתיע תמורת 33,000 ש״ח.</t>
  </si>
  <si>
    <t>נדרש: א. הציגו את כל היתרות המאזניות והתוצאתיות בגין הפריט עבור כל אחת מהשנים שבהן הוחזק הנכס בחברה.</t>
  </si>
  <si>
    <r>
      <t xml:space="preserve">ב. חשבו </t>
    </r>
    <r>
      <rPr>
        <b/>
        <sz val="12"/>
        <color theme="1"/>
        <rFont val="David"/>
      </rPr>
      <t>מחדש</t>
    </r>
    <r>
      <rPr>
        <sz val="12"/>
        <color theme="1"/>
        <rFont val="David"/>
      </rPr>
      <t xml:space="preserve"> את רווח / הפסד ההון בלבד בהנחה שהשיטה היא סכום </t>
    </r>
    <r>
      <rPr>
        <b/>
        <sz val="12"/>
        <color theme="1"/>
        <rFont val="David"/>
      </rPr>
      <t>ספרות עולה</t>
    </r>
    <r>
      <rPr>
        <sz val="12"/>
        <color theme="1"/>
        <rFont val="David"/>
      </rPr>
      <t>.</t>
    </r>
  </si>
  <si>
    <t>סכום ספרות:</t>
  </si>
  <si>
    <t xml:space="preserve">10 * (10 + 1) / 2 = </t>
  </si>
  <si>
    <t>33,000-28,636=</t>
  </si>
  <si>
    <t>פתרון סעיף א</t>
  </si>
  <si>
    <t>פתרון סעיף ב</t>
  </si>
  <si>
    <t>רגע שי, מה עשית כאן? בגלל שמדובר בסכום ספרות עולה ולא יורד, הספרות לא פועלות מהגדולה (10) בסדר יורד כלפי מטה,</t>
  </si>
  <si>
    <t xml:space="preserve">אלא דווקא מהספרה הקטנה ביותר (שהיא תמיד 1) למעלה. </t>
  </si>
  <si>
    <r>
      <t xml:space="preserve">כדי לחשב את הפחת הנצבר וערך הספרים ערב המכירה בשיטת סכום ספרות </t>
    </r>
    <r>
      <rPr>
        <b/>
        <u/>
        <sz val="12"/>
        <color theme="1"/>
        <rFont val="David"/>
      </rPr>
      <t>עולה</t>
    </r>
    <r>
      <rPr>
        <sz val="12"/>
        <color theme="1"/>
        <rFont val="David"/>
      </rPr>
      <t>, בצורה המהירה ביותר:</t>
    </r>
  </si>
  <si>
    <t>תמורה</t>
  </si>
  <si>
    <t>בניכוי ספרים</t>
  </si>
  <si>
    <t>תשובה סופית</t>
  </si>
  <si>
    <t xml:space="preserve">הבחינה מורכבת משני חלקים. חלקה הראשון עוסק בעריכת דוחות כספיים מלאים, וחלקה השני - כולל שאלות </t>
  </si>
  <si>
    <t>קטנות במגוון נושאים כדוגמת אלו שהצגנו במהלך השיעורים.</t>
  </si>
  <si>
    <t>בשיעורים שנותרו לנו נעסוק רק ב״חלק הראשון״ - כיצד עורכים דוחות כספיים מלאים בהינתן תיקונים ועדכונים</t>
  </si>
  <si>
    <t>הנובעים מההבנה וההיכרות עם הסעיפים השונים.</t>
  </si>
  <si>
    <t>השאלה הגדולה בנויה כך:</t>
  </si>
  <si>
    <t>א. מתקבלת רשימת ערכים של חשבונות (סוגים שונים של ערכים כספיים - נכסים, התחייבויות, הון, הכנסות</t>
  </si>
  <si>
    <t xml:space="preserve">ג. על בסיס הערכים המעודכנים (לאחר כלל התיקונים והעדכונים המתבקשים) יש לערוך דוחות כספיים מלאים - </t>
  </si>
  <si>
    <t>את הדוח על המצב הכספי (מאזן) ואת דוח רווח והפסד.</t>
  </si>
  <si>
    <t>תרגיל דוגמא</t>
  </si>
  <si>
    <t>להלן נתונים בדבר היתרות הכספיות בספרי חברת ״יובלים ושכטרים״ העוסקת בייצור גבינות לארוחת שישי</t>
  </si>
  <si>
    <t xml:space="preserve">ולקידוש בבתים מסויימים. כל היתרות מעודכנות ליום 31.12.2020 אלא אם נאמר מפורשות אחרת. </t>
  </si>
  <si>
    <t>הערכים באלפי ש״ח.</t>
  </si>
  <si>
    <t>השקעות 
לזמן קצר</t>
  </si>
  <si>
    <t>הלוואות
לזמן קצר</t>
  </si>
  <si>
    <t>הלוואות
לזמן ארוך</t>
  </si>
  <si>
    <t>עודפים 1.1</t>
  </si>
  <si>
    <t>החזרות 
לספקים</t>
  </si>
  <si>
    <t>נדל״ן
להשקעה</t>
  </si>
  <si>
    <t>השקעות
לזמן ארוך</t>
  </si>
  <si>
    <t>הוצאות 
ריבית</t>
  </si>
  <si>
    <t>הכנסות
ריבית</t>
  </si>
  <si>
    <t>הוצאות
פרסום</t>
  </si>
  <si>
    <t>הוצאות
שכר</t>
  </si>
  <si>
    <t>הוצאות
טלפון</t>
  </si>
  <si>
    <t>הוצאות
חשמל</t>
  </si>
  <si>
    <t>עמלות
סוכנים</t>
  </si>
  <si>
    <t>שכר טרחה
רואה חשבון</t>
  </si>
  <si>
    <t>החזרות
מלקוח</t>
  </si>
  <si>
    <t>אזהרת מסע</t>
  </si>
  <si>
    <t>ברור כי ההתייחסות לדוחות מלאים כולל שילוב מגוון רחב של תכנים והתאמות שנלמדו במהלך כל הסמסטר</t>
  </si>
  <si>
    <t>ואיגודה לכדי דוח כספי היא מורכבת. מהסיבה הזו, כל המפגשים שנותרו נועדו למטרה זו, ואנו נחדד, נלבן,</t>
  </si>
  <si>
    <t xml:space="preserve">נציג בשלבים ונתרגל. </t>
  </si>
  <si>
    <t>לצד זאת, מחובתכם לחזור על התכנים באופן מלא ככל האפשר סמוך לאחר השיעור. שאלות לגבי תכני המפגש</t>
  </si>
  <si>
    <t>ניתן להפנות למרצה בכל עת; שאלות לגבי התרגולים העתידיים שישענו על כך ניתן להפנות למתרגלים כשהמרצים</t>
  </si>
  <si>
    <t>כאן לגיבוי.</t>
  </si>
  <si>
    <t>נתונים נוספים:</t>
  </si>
  <si>
    <t>המכונות שבבעלות החברה נרכשו ב-1.12.2018. עלות הרכישה הישירה שלהן היתה 900 אלפי ש״ח,</t>
  </si>
  <si>
    <t>אך לשם הובלתן והרכבתן בחברה היא נדרשה לשלם 100 אלפי ש״ח נוספים. המכונות הגיעו לחברה</t>
  </si>
  <si>
    <t xml:space="preserve">והפכו לזמינות לשימוש ב-31.3.2019. אורך החיים השימושיים של המכונות הנו 10 שנים, והן </t>
  </si>
  <si>
    <t>מופחתות בשיטת הקו הישר ללא ערך שייר / גרט.</t>
  </si>
  <si>
    <t xml:space="preserve">מלאי הסגירה בחברה, בהתאם לנתוני ספירות המלאי שנעשו, כולל 5,000 פריטים בעלות של 4 ש״ח </t>
  </si>
  <si>
    <t xml:space="preserve">לפריט. בנוסף ידוע כי מחיר המכירה העתידי הצפוי למלאי זה הוא 30 אלפי ש״ח, ועלויות הצפויות </t>
  </si>
  <si>
    <t>להיווצר לשם מכירתו הן 4 אלפי ש״ח.</t>
  </si>
  <si>
    <t>במהלך שנת 2020, ביצעה החברה מכירה ללקוחות באשראי. היקף המכירה בסך 22 אלפי ש״ח.</t>
  </si>
  <si>
    <t>בעקבות טעות במערכת הנהלת החשבונות, מכירה זו טרם קיבלה ביטוי בספרי החברה.</t>
  </si>
  <si>
    <t>הוצאות השכר בחברה מסווגות לסעיף הוצאות הנהלה וכלליות. החברה טרם ישלמה ולכן טרם</t>
  </si>
  <si>
    <t>רשמה את הוצאות השכר בגין נובמבר ודצמבר 2020. יש להניח שהוצאות השכר מתפלגות</t>
  </si>
  <si>
    <t>אחיד על פני השנה.</t>
  </si>
  <si>
    <t>נדרש: ערכו את הדוח על המצב הכספי (המאזן) ליום 31.12.2020, ואת דוח רווח והפסד לשנה שנסתיימה באותו</t>
  </si>
  <si>
    <t xml:space="preserve">התאריך. </t>
  </si>
  <si>
    <r>
      <t xml:space="preserve">הנחות </t>
    </r>
    <r>
      <rPr>
        <b/>
        <sz val="12"/>
        <color rgb="FFFF0000"/>
        <rFont val="David"/>
      </rPr>
      <t>מזומן</t>
    </r>
    <r>
      <rPr>
        <sz val="12"/>
        <color theme="1"/>
        <rFont val="David"/>
      </rPr>
      <t xml:space="preserve">
מספקים</t>
    </r>
  </si>
  <si>
    <t>שיחזור 1 - מכונות - עלות</t>
  </si>
  <si>
    <t>חשבון ״מכונות - עלות״ הוא חשבון המסווג לנכסים, וערכו כולל את כל העלויות הנדרשות להבאת המכונות</t>
  </si>
  <si>
    <t xml:space="preserve">למיקום ולמצב שמיש. </t>
  </si>
  <si>
    <t>כלומר:</t>
  </si>
  <si>
    <t>עלות רכישה ישירה</t>
  </si>
  <si>
    <t>כל עלות חד פעמית נוספת:</t>
  </si>
  <si>
    <t>מכסים ומסי קנייה</t>
  </si>
  <si>
    <t>כל עלות נוספת נדרשת חד פעמית</t>
  </si>
  <si>
    <t>סה״כ עלות הפריט</t>
  </si>
  <si>
    <r>
      <rPr>
        <sz val="12"/>
        <color theme="0"/>
        <rFont val="David"/>
      </rPr>
      <t>,</t>
    </r>
    <r>
      <rPr>
        <sz val="12"/>
        <color theme="1"/>
        <rFont val="David"/>
      </rPr>
      <t>=</t>
    </r>
  </si>
  <si>
    <t>אלפי ש״ח</t>
  </si>
  <si>
    <t>הצבה</t>
  </si>
  <si>
    <t>נתון א</t>
  </si>
  <si>
    <t>התקנה / הרכבה</t>
  </si>
  <si>
    <t>שיחזור 2 - פחת נצבר ל-1.1.2020</t>
  </si>
  <si>
    <t>הוצאות הפחת מתחילות להירשם החל מהמועד שבו פריט הרכוש הקבוע זמין לשימוש.</t>
  </si>
  <si>
    <t>עלות הפריט</t>
  </si>
  <si>
    <t>תקופת הפחתה</t>
  </si>
  <si>
    <t>שנים</t>
  </si>
  <si>
    <t>שיטת פחת</t>
  </si>
  <si>
    <t>קו ישר</t>
  </si>
  <si>
    <t>גרט</t>
  </si>
  <si>
    <t>תחילת פחת</t>
  </si>
  <si>
    <t>31.3.2019</t>
  </si>
  <si>
    <t>1.1.2020</t>
  </si>
  <si>
    <t>נדרש: פחנ״צ</t>
  </si>
  <si>
    <t xml:space="preserve">מהי דרך הפתרון שהוצגה? התבססנו על העלות: 1,000, בניכוי הגרט/שייר 0, </t>
  </si>
  <si>
    <t>את כל זה חילקנו בתקופת ההפחתה בשנים 10, וכך קיבלנו פחת לשנה אחת.</t>
  </si>
  <si>
    <t>אבל - הפחת הנצבר ל-1.1.2020 הוא רק עבור 9 חודשים: 31.3.2019-1.1.2020</t>
  </si>
  <si>
    <t>לכן כפלנו ב-9/12 וכך ביטאנו פחת נצבר יחסי למועד הנדרש.</t>
  </si>
  <si>
    <t>״תחילת השנה״</t>
  </si>
  <si>
    <t>הפחת הנצבר: חלק מקטגוריית הנכסים,</t>
  </si>
  <si>
    <t>בסימן שלילי</t>
  </si>
  <si>
    <t>שיחזור 3 - מלאי סגירה ליום 31.12.2020</t>
  </si>
  <si>
    <t>הנתון:</t>
  </si>
  <si>
    <t>מלאי הסגירה נמדד תמיד לפי הנמוך מבין שני ערכים:</t>
  </si>
  <si>
    <t xml:space="preserve">5,000 * 4 = </t>
  </si>
  <si>
    <t>א. עלות (שימו לב זה בש״ח לא באלפים):</t>
  </si>
  <si>
    <t>ב. שווי מימוש נטו:</t>
  </si>
  <si>
    <t>מוגדר בתור - מחיר מכירה (עתידי)</t>
  </si>
  <si>
    <t>וכך מגיעים לשווי מימוש נטו</t>
  </si>
  <si>
    <t>עלות - אלפי ש״ח:</t>
  </si>
  <si>
    <t>שווי מימוש נטו - אלפי ש״ח:</t>
  </si>
  <si>
    <t xml:space="preserve">מלאי סגירה לדיווח = </t>
  </si>
  <si>
    <t xml:space="preserve">min(עלות, שווי מימוש נטו) = </t>
  </si>
  <si>
    <t>30 + ?</t>
  </si>
  <si>
    <t>הערך החסר, מייצג עודפים ל-1.1</t>
  </si>
  <si>
    <r>
      <t xml:space="preserve">וכיצד נגלה ערך חסר זה? ראו להלן, </t>
    </r>
    <r>
      <rPr>
        <b/>
        <sz val="12"/>
        <color rgb="FF00B050"/>
        <rFont val="David"/>
      </rPr>
      <t>שיחזור 4</t>
    </r>
  </si>
  <si>
    <t>שיחזור 4 - חילוץ יתרת פתיחה עודפים קרי עודפים 1.1.2020</t>
  </si>
  <si>
    <t>לאחר שיחזורים 1, 2, 3 - כאשר סכמנו את הערכים, זה מה שקיבלנו:</t>
  </si>
  <si>
    <t>ידוע לכולנו שמתקיים תמיד:</t>
  </si>
  <si>
    <t xml:space="preserve">נכסים </t>
  </si>
  <si>
    <t>התחייבויות והון עצמי</t>
  </si>
  <si>
    <t>הואיל והרווח הוא חלק מההון העצמי, ניתן לסמן זאת כך:</t>
  </si>
  <si>
    <t>370 + (30 +  x) + (407 - 355)</t>
  </si>
  <si>
    <t>הון 1.1</t>
  </si>
  <si>
    <t xml:space="preserve">בתוספת </t>
  </si>
  <si>
    <t>רווח השנה:</t>
  </si>
  <si>
    <t>פחות</t>
  </si>
  <si>
    <t>משוואת הפתרון:</t>
  </si>
  <si>
    <t>3095 = 370 + 30 + x + 407 - 355</t>
  </si>
  <si>
    <t xml:space="preserve">x = </t>
  </si>
  <si>
    <t>סך הכל יתרת עודפים ל-1.1.2020</t>
  </si>
  <si>
    <t>שלב 1 - שיחזור ערכים חסרים ביתרות הפתיחה</t>
  </si>
  <si>
    <t>שלב 2 - עדכונים נדרשים לתום שנת הדיווח</t>
  </si>
  <si>
    <t xml:space="preserve">אפשר לשים לב לכך שחלק מהנתונים ברשימת היתרות אינם מעודכנים לתום השנה. </t>
  </si>
  <si>
    <t>כך, למשל, הפחת הנצבר בנתונים הוא ל-1.1, ויש לעדכנו לערך הנכון לתום שנת הדיווח - 31.12.</t>
  </si>
  <si>
    <t>כמו כן, בנתונים הנוספים לשאלה בהחלט ייתכנו אירועים נוספים - שלא קיבלו ביטוי בנתוני הבסיס,</t>
  </si>
  <si>
    <t xml:space="preserve">או שקיבלו ביטוי בצורה לא מושלמת, מה שמצריך התחשבות ועדכון. </t>
  </si>
  <si>
    <r>
      <t xml:space="preserve">עדכונים נוספים אלו יבוצעו בצורה של </t>
    </r>
    <r>
      <rPr>
        <u/>
        <sz val="12"/>
        <color theme="1"/>
        <rFont val="David"/>
      </rPr>
      <t>פקודות יומן נוספות</t>
    </r>
    <r>
      <rPr>
        <sz val="12"/>
        <color theme="1"/>
        <rFont val="David"/>
      </rPr>
      <t xml:space="preserve">. </t>
    </r>
  </si>
  <si>
    <t>כל פקודה תשפיע בצורה מסוימת על ערכי היתרות שאליהן היא קשורה, וכך נקבל יתרות עדכניות</t>
  </si>
  <si>
    <t>לתום שנת הדיווח - שיהוו את הבסיס לעריכת הדיווח הכספי.</t>
  </si>
  <si>
    <t xml:space="preserve">והוצאות) - הרשימה מגיעה בצורה ״גולמית״ (לא ממויינת לסוגי חשבונות) ואנו מבצעים את הסיווג תחילה - </t>
  </si>
  <si>
    <t>תיקונים (אם קיים סימן שאלה בערך מסויים - בהתבסס על הנתונים הנוספים, נחשבו / נחלצו).</t>
  </si>
  <si>
    <t>נוספים שיימסרו. בעצם: היתרות ה״מקוריות״ בשאלה אינן משקפות עסקאות נוספות או אירועים מורכבים</t>
  </si>
  <si>
    <t>שיש לתת להם ביטוי טרם עריכת הדוחות הכספיים המלאים.</t>
  </si>
  <si>
    <t xml:space="preserve">    שלבים אלו</t>
  </si>
  <si>
    <t xml:space="preserve">    יידונו בפירוט</t>
  </si>
  <si>
    <t xml:space="preserve">    בהרצאה זו</t>
  </si>
  <si>
    <t>אז רגע שי, איך נדע מה לעדכן?</t>
  </si>
  <si>
    <t xml:space="preserve">א. יתרות או ערכים שלצדם נרשם ״1.1״ כלומר, לא עודכנו לתום השנה ולכן יש לעדכנם. </t>
  </si>
  <si>
    <t xml:space="preserve">ב. כאשר קיים נתון ספציפי מילולי בשאלה, הקובע שיש לעדכן. </t>
  </si>
  <si>
    <t>עדכונים - רק ע״י פקודות יומן מתקנות</t>
  </si>
  <si>
    <t>עדכון ראשון - הוצאות פחת לשנה הנוכחית, ועדכון הפחת הנצבר ל-31.12</t>
  </si>
  <si>
    <t>עדכון:</t>
  </si>
  <si>
    <t>הואיל והפחת הנצבר חולץ ל-1.1.2020, סימן שהוצאות הפחת לשנת 2020 (שנת הדיווח) טרם נרשמו.</t>
  </si>
  <si>
    <t>את הוצאות הפחת והגידול בפחת הנצבר בעקבותיהן, נחשב על בסיס הנתונים בדבר הפריט:</t>
  </si>
  <si>
    <t>תזכורת:</t>
  </si>
  <si>
    <t>ערך שייר / גרט</t>
  </si>
  <si>
    <t>תקופת ההפחתה בשנים</t>
  </si>
  <si>
    <t>הון
הכנסות +
הוצאות -</t>
  </si>
  <si>
    <t>חובה הוצאות פחת 100</t>
  </si>
  <si>
    <t>זכות פחת נצבר 100</t>
  </si>
  <si>
    <t>מבנה פקודה לרישום / עדכון הוצ׳ פחת:</t>
  </si>
  <si>
    <t>את הפחת הנצבר באותו הסכום. הפחת הוא בגין כל השנה, ולכן אין צורך לבצע התאמה לחודשים.</t>
  </si>
  <si>
    <t>מכונות - 
עלות - 
שיחזור 
1</t>
  </si>
  <si>
    <t>הנחות מזומן
מספקים</t>
  </si>
  <si>
    <t>הנחות 
מסחריות
ללקוח</t>
  </si>
  <si>
    <t>מלאי 
31.12
מאזן
שיחזור 3</t>
  </si>
  <si>
    <t>מלאי
31.12
רוו״ה
שיחזור 3</t>
  </si>
  <si>
    <t>הוא נכס:</t>
  </si>
  <si>
    <t>מדובר בחלק מהמשאבים</t>
  </si>
  <si>
    <t>שברשות החברה</t>
  </si>
  <si>
    <t>ל-31.12</t>
  </si>
  <si>
    <t>מלאי הסגירה (ל-31.12 של שנת הדיווח)</t>
  </si>
  <si>
    <t>מלאי הסגירה מייצג גם קיטון בהוצאות</t>
  </si>
  <si>
    <t>ובפרט, בעלות המכר</t>
  </si>
  <si>
    <t>ומדוע?</t>
  </si>
  <si>
    <t>נניח בלי קשר לנתוני השאלה, שהחברה רכשה השנה</t>
  </si>
  <si>
    <t>מלאי בעלות של 200 אלפי ש״ח (הוצאה - קניות: 200)</t>
  </si>
  <si>
    <t>נניח בנוסף, שהתגלה כי נכון לתום השנה, בחברה נותר מלאי</t>
  </si>
  <si>
    <t>קרי מלאי סגירה בסכום של 60 אלפי ש״ח.</t>
  </si>
  <si>
    <t xml:space="preserve">כמה מלאי החברה צרכה / בכמה מלאי היא </t>
  </si>
  <si>
    <t>השתמשה אם אלו הנתונים?</t>
  </si>
  <si>
    <t xml:space="preserve">200 - 60 = </t>
  </si>
  <si>
    <t>ההוצאה - עלות המכר</t>
  </si>
  <si>
    <t xml:space="preserve">בשפה פשוטה: ככל שנשאר לנו יותר, סימן שצרכנו פחות, </t>
  </si>
  <si>
    <t xml:space="preserve">כלומר ההוצאה נמוכה יותר, ולכן מלאי הסגירה הוא </t>
  </si>
  <si>
    <t>בצד ההוצאות בסימן שלילי</t>
  </si>
  <si>
    <t>כל עסקה, שלא נרשמה, או נרשמה באופן שגוי או בסכום שגוי מכל סיבה שהיא - חייבת לקבל ביטוי</t>
  </si>
  <si>
    <t>בדרך של פקודת יומן מתקנת.</t>
  </si>
  <si>
    <t>וכיצד רושמים פקודת יומן לתיעוד מכירה באשראי?</t>
  </si>
  <si>
    <t xml:space="preserve">בגין מכירה או מתן שירות שהעסק ביצע, חובה לרשום הכנסה, לפי שווי המכירה / מתן השירות, </t>
  </si>
  <si>
    <t xml:space="preserve">וזאת ללא תלות בעיתוי התשלום בעד העסקה. </t>
  </si>
  <si>
    <t>זכות מכירות 22</t>
  </si>
  <si>
    <t>חובה לקוחות 22</t>
  </si>
  <si>
    <t>הואיל וכנתון המכירה בוצעה באשראי, הרי שבמקביל לרישום ההכנסה, חוב הלקוח כלפי החברה</t>
  </si>
  <si>
    <t>גדל (מכירה באשראי היא מכירה שתמורתה טרם נתקבלה, ולכן מגדילה את חוב הלקוח כלפי</t>
  </si>
  <si>
    <r>
      <t xml:space="preserve">החברה). גידול בחוב הלקוח כלפי החברה משתקף בנכס </t>
    </r>
    <r>
      <rPr>
        <b/>
        <sz val="12"/>
        <color theme="1"/>
        <rFont val="David"/>
      </rPr>
      <t>לקוחות</t>
    </r>
    <r>
      <rPr>
        <sz val="12"/>
        <color theme="1"/>
        <rFont val="David"/>
      </rPr>
      <t xml:space="preserve">. </t>
    </r>
  </si>
  <si>
    <t>פקודת יומן - הכנסה וגידול בנכס לקוחות:</t>
  </si>
  <si>
    <t>מכונות - 
פחנ״צ 
31.12</t>
  </si>
  <si>
    <t>הוצאות השכר בטבלת הנתונים הגולמית הן בסך:</t>
  </si>
  <si>
    <t xml:space="preserve">יש כאן עיוות שחייבים לתקן: ללא תלות בעיתוי תשלומי השכר, הוצאות השכר בחברה חייבות </t>
  </si>
  <si>
    <t xml:space="preserve">לשקף בכל שנה ושנה את שווי שירותי העבודה שנצרכו - במהלך השנה כולה. </t>
  </si>
  <si>
    <t>הואיל והחברה תיעדה רק 10 חודשי שכר בסך הכל, חייבים לדאוג להשלמת רישום ההוצאה</t>
  </si>
  <si>
    <t xml:space="preserve">בעד חודשיים נוספים (נובמבר ודצמבר). </t>
  </si>
  <si>
    <t>הואיל ונתון שהוצאות השכר הנתונות ל-10 חודשים מתפלגות באופן אחיד, הפרשנות: הוצאות השכר</t>
  </si>
  <si>
    <t>החודשיות קבועות. הואיל ושכר בסך 80 אלפי ש״ח הוא ל-10 חודשים, הרי שהוצאות השכר לחודש</t>
  </si>
  <si>
    <t>אחד הן:</t>
  </si>
  <si>
    <t xml:space="preserve">80 / 10 = </t>
  </si>
  <si>
    <t xml:space="preserve">8 * 2 = </t>
  </si>
  <si>
    <r>
      <t xml:space="preserve">עבור חודשיים נוספים, הוצאות השכר </t>
    </r>
    <r>
      <rPr>
        <u/>
        <sz val="12"/>
        <color theme="1"/>
        <rFont val="David"/>
      </rPr>
      <t>הנוספות</t>
    </r>
    <r>
      <rPr>
        <sz val="12"/>
        <color theme="1"/>
        <rFont val="David"/>
      </rPr>
      <t xml:space="preserve"> שתרשמנה:</t>
    </r>
  </si>
  <si>
    <t>פקודת יומן - הוצ׳ שכר נוספות:</t>
  </si>
  <si>
    <t>חובה הוצאות שכר 16</t>
  </si>
  <si>
    <t>זכות הוצאות לשלם 16</t>
  </si>
  <si>
    <t>תזכורת: מחויבות שנוצרת בגןי שירות מתמשך (עבודה, שכר דירה, ייעוץ, חשמל וכיוצא בזה) טרם הונפקו</t>
  </si>
  <si>
    <t>אסמכתאות (חשבוניות / תלושי שכר) תירשמנה כנגד הוצאות לשלם.</t>
  </si>
  <si>
    <t>הוצאות השכר בחברה מסווגות לסעיף הוצאות הנהלה וכלליות. החברה טרם שילמה ולכן טרם</t>
  </si>
  <si>
    <t>שלב 3 - עריכת דוחות כספיים מלאים</t>
  </si>
  <si>
    <t>מאזן - הדוח על המצב הכספי ליום 31.12.2020</t>
  </si>
  <si>
    <t>נכסים שוטפים (עד שנה)</t>
  </si>
  <si>
    <t>נכסים לא שוטפים (מעל שנה)</t>
  </si>
  <si>
    <t>התחייבויות שוטפות (עד שנה)</t>
  </si>
  <si>
    <t>התחייבויות לא שוטפות (מעל שנה)</t>
  </si>
  <si>
    <t>השקעות לזמן קצר</t>
  </si>
  <si>
    <t>סך הנכסים שוטפים</t>
  </si>
  <si>
    <t>רכוש קבוע, נטו (*)</t>
  </si>
  <si>
    <t>ביאורים נוספים:</t>
  </si>
  <si>
    <t>רכוש קבוע, נטו:</t>
  </si>
  <si>
    <t xml:space="preserve">מוצג כערך מספרי יחיד לפי העלות בניכוי הפחת הנצבר למועד הדיווח. </t>
  </si>
  <si>
    <t xml:space="preserve">מכונות - עלות </t>
  </si>
  <si>
    <t>בניכוי פחת נצבר מכונות</t>
  </si>
  <si>
    <t>רכוש קבוע נטו</t>
  </si>
  <si>
    <t>השקעות לזמן ארוך</t>
  </si>
  <si>
    <t>נכסים בלתי מוחשיים (**)</t>
  </si>
  <si>
    <t>נכסים בלתי מוחשיים:</t>
  </si>
  <si>
    <t>סעיף זה יאגד לתוכו את הערך המצרפי (הסכום הכולל) של כל פריטי הנכסים הבלתי מוחשיים, יחד. כלומר, נחבר</t>
  </si>
  <si>
    <t>פטנטים, זיכיונות, קניין רוחני, זכויות יוצרים, תוכנות וכיו״ב. במקרה הזה, מדובר בפריט אחד ויחיד של פטנטים</t>
  </si>
  <si>
    <t xml:space="preserve">שסכומם ידוע. </t>
  </si>
  <si>
    <t>סך הנכסים הלא שוטפים</t>
  </si>
  <si>
    <t>סך הנכסים - שוטפים ולא שוטפים</t>
  </si>
  <si>
    <t>זכאים (כולל הוצ׳ לשלם)</t>
  </si>
  <si>
    <t>סך ההתחייבויות השוטפות</t>
  </si>
  <si>
    <t>סך ההתחייבויות הלא שוטפות</t>
  </si>
  <si>
    <t>עודפים</t>
  </si>
  <si>
    <t>עודפים (שימו לב ל-31.12)</t>
  </si>
  <si>
    <t>עודפים:</t>
  </si>
  <si>
    <t>יתרת העודפים בדוח על המצב הכספי ל-31.12.2020 חייבת לכלול אך ורק את העודפים המעודכנים לתאריך זה.</t>
  </si>
  <si>
    <t>הצבה של יתרת העודפים ל-1.1.2020 היא בגדר טעות חמורה במיוחד.</t>
  </si>
  <si>
    <t>סך ההתחייבויות וההון</t>
  </si>
  <si>
    <t>סך ההון העצמי</t>
  </si>
  <si>
    <t>חילוץ יתרת עודפים ל-31.12.2020:</t>
  </si>
  <si>
    <t>ידוע שלתום השנה, סך הנכסים זהים לסך ההתחייבויות וההון.</t>
  </si>
  <si>
    <t>סך הנכסים:</t>
  </si>
  <si>
    <t>סך ההתחייבויות וההון כולל עודפים לתום שנה (y):</t>
  </si>
  <si>
    <t>שוטפות</t>
  </si>
  <si>
    <t>לא שוטפות</t>
  </si>
  <si>
    <t>חלק מההון</t>
  </si>
  <si>
    <t>העצמי</t>
  </si>
  <si>
    <t>לתום שנה</t>
  </si>
  <si>
    <t>286 + 100 + 30 + y</t>
  </si>
  <si>
    <t>בסך הכל העודפים יחולצו לתום שנה כך:</t>
  </si>
  <si>
    <t>286 + 100 + 30 + y = 3,017</t>
  </si>
  <si>
    <t xml:space="preserve">y = </t>
  </si>
  <si>
    <t>דוח רווח והפסד - לשנה שנסתיימה ב-31.12.2020</t>
  </si>
  <si>
    <t>הוצאות מכירה ושיווק</t>
  </si>
  <si>
    <t>הוצאות הנהלה וכלליות</t>
  </si>
  <si>
    <t>הכנסות / הוצאות אחרות</t>
  </si>
  <si>
    <t>הוצאות מימון</t>
  </si>
  <si>
    <t>הכנסות מימון</t>
  </si>
  <si>
    <t>סעיף המכירות בדוח רווח והפסד משקף למעשה את המכירות נטו, ואלו רכיביו:</t>
  </si>
  <si>
    <t>מכירות (ברוטו)</t>
  </si>
  <si>
    <t>הנחות מסחריות ללקוחות</t>
  </si>
  <si>
    <t>מכירות (נטו) לרווח והפסד</t>
  </si>
  <si>
    <t>כללי</t>
  </si>
  <si>
    <t>כאן</t>
  </si>
  <si>
    <t>עלות המכירות / עלות המכר:</t>
  </si>
  <si>
    <t>משקפת את עלות המלאי שנמכר, ומחושבת על בסיס 6 רכיבים:</t>
  </si>
  <si>
    <t>מלאי פתיחה (1.1)</t>
  </si>
  <si>
    <t>קניות (ברוטו)</t>
  </si>
  <si>
    <t>הובלת קניות למחסן</t>
  </si>
  <si>
    <t>מלאי סגירה (31.12)</t>
  </si>
  <si>
    <t>סך הכל עלות המכר</t>
  </si>
  <si>
    <t>מכירות בניכוי עלות המכר</t>
  </si>
  <si>
    <t>הוצאות מכירה ושיווק:</t>
  </si>
  <si>
    <t>עלויות הקשורות לפרסום, שיווק, הפצה ללקוחות, משלוחים ללקוחות, עמלות סוכנים וכיוצא בזה.</t>
  </si>
  <si>
    <t>במקרה זה:</t>
  </si>
  <si>
    <t>עמלות סוכנים</t>
  </si>
  <si>
    <t>סך הכל הוצ׳ מכירה ושיווק</t>
  </si>
  <si>
    <t>הוצאות הנהלה וכלליות:</t>
  </si>
  <si>
    <t>כמעט כל הוצאה שוטפת שאיננה מימון. דוגמאות במקרה זה:</t>
  </si>
  <si>
    <t>הוצאות שכר (אלא אם נאמר שמדובר במשכורות ייעודיות לאנשי שיווק למשל)</t>
  </si>
  <si>
    <t>הוצאות טלפון (אלא אם נאמר...)</t>
  </si>
  <si>
    <t>הוצאות חשמל (אלא אם..)</t>
  </si>
  <si>
    <t>שכר טרחה רואה חשבון</t>
  </si>
  <si>
    <t>פחת (אלא אם נאמר שהפריט המופחת משרת פעילות ספציפית שונה)</t>
  </si>
  <si>
    <t>סך הכל הוצ׳ הנהלה וכלליות</t>
  </si>
  <si>
    <t>הכנסות / הוצאות אחרות:</t>
  </si>
  <si>
    <t>הכנסות אחרות תכלולנה את סוגי ההכנסות שאינן מהפעילות העיקרית ואינן הכנסות מימון.</t>
  </si>
  <si>
    <t>כגון:</t>
  </si>
  <si>
    <t xml:space="preserve">הכנסות משכר דירה </t>
  </si>
  <si>
    <t>הכנסות מייעוץ (אם זו לא הפעילות העיקרית)</t>
  </si>
  <si>
    <t>רווח הון ממכירת רכוש קבוע</t>
  </si>
  <si>
    <t>הוצאות אחרות תכלולנה את כל סוגי ההוצאות החריגות / החד פעמיות, כגון:</t>
  </si>
  <si>
    <t>הפסד הון ממימוש רכוש קבוע</t>
  </si>
  <si>
    <t>הפסד חד פעמי מנזקי שריפה / אירועי טבע</t>
  </si>
  <si>
    <t>עלויות ארגון מחדש של החברה</t>
  </si>
  <si>
    <t>כאן הסעיף לא רלוונטי.</t>
  </si>
  <si>
    <t>הפסד תפעולי</t>
  </si>
  <si>
    <t>הפסד נקי</t>
  </si>
  <si>
    <t>הוצאות ריבית (כולל הנחת מזומן שניתנה) ועמלות בנק</t>
  </si>
  <si>
    <t>הכנסות ריבית (כולל הנחת מזומן שנתקבלה)</t>
  </si>
  <si>
    <t>בקרה:</t>
  </si>
  <si>
    <t>הפסד השנה</t>
  </si>
  <si>
    <t>עודפים 31.12</t>
  </si>
  <si>
    <t>להלן נתונים בדבר היתרות הכספיות בספרי חברת ״מבודדים כל היום״ העוסקת בייצור ובשיווק של משחקים לתקופות</t>
  </si>
  <si>
    <t xml:space="preserve">בידוד העוברות על כולנו בשנים האחרונות. כל היתרות מעודכנות ליום 31.12.2021 אלא אם נאמר מפורשות אחרת. </t>
  </si>
  <si>
    <t>הוצאות ארנונה</t>
  </si>
  <si>
    <t>מזומן בקופה</t>
  </si>
  <si>
    <t xml:space="preserve">לא התקיימה יתרת התחייבות בגין ארנונה ליום 31.12.2021. </t>
  </si>
  <si>
    <t xml:space="preserve">סכום זה שולם במלואו בהעברה בנקאית מהעו״ש במהלך 2021 ומנהל החשבונות זקף אותו כהוצאות ארנונה של 2021.  </t>
  </si>
  <si>
    <t>מחשבים - עלות</t>
  </si>
  <si>
    <t>מחשבים - פחת נצבר 1.1.2021</t>
  </si>
  <si>
    <t xml:space="preserve">ב. המחשבים שבבעלות החברה נרכשו ב- 30.6.2020, הגיעו לחברה ב-1.8.2020 והפכו לזמינים לשימוש ב-1.9.2020. </t>
  </si>
  <si>
    <t xml:space="preserve">הם כוללים 100 מחשבים מדגם Macbook Air M1, שכולם בעלות זהה. אורך החיים השימושיים של המחשבים 5 שנים </t>
  </si>
  <si>
    <t xml:space="preserve">והם מופחתים בשיטת הקו הישר, ללא ערך שייר / גרט. </t>
  </si>
  <si>
    <t>טלפונים סלולריים</t>
  </si>
  <si>
    <t xml:space="preserve">ג. הטלפונים הסלולריים שבבעלות החברה כוללים 100 מכשירי iPhone 13 Pro Max 1 TB שנרכשו בתאריך 1.9.2021. </t>
  </si>
  <si>
    <t>הטלפונים הפכו לזמינים לשימוש באותו היום, והם מופחתים בשיטת הקו הישר, ללא ערך שייר, על פני 3 שנים. ב-31.12.2021</t>
  </si>
  <si>
    <t>נמכר אחד מהטלפונים ללקוח שהיה להוט להשיג את האייפון החדש, ונוצר בעסקת המכירה רווח הון בסך 1,000 ש״ח.</t>
  </si>
  <si>
    <t>הכנסות ריבית</t>
  </si>
  <si>
    <t>הוצאות שיווק</t>
  </si>
  <si>
    <t>הוצאות שכר - הנהלה</t>
  </si>
  <si>
    <t>הוצאות שכר - משווקים</t>
  </si>
  <si>
    <t>הוצאות הנהלת חשבונות</t>
  </si>
  <si>
    <t>מלאי סגירה - מאזן</t>
  </si>
  <si>
    <t>מלאי סגירה - רווח והפסד</t>
  </si>
  <si>
    <t xml:space="preserve">ד. במהלך שנת 2021 העניקה החברה באופן חד פעמי שירות ללקוח שחורג מתחום עיסוקה הרגיל. החברה נוהגת לזקוף  </t>
  </si>
  <si>
    <t xml:space="preserve">הכנסות משירותים מיוחדים לסעיף ״הכנסות אחרות״ בדוח רווח והפסד. עד לתום שנת 2021 לא ניתן ביטוי לאירוע זה, </t>
  </si>
  <si>
    <t xml:space="preserve">כאשר החברה צופה כי המכירה של המלאי בעתיד צפויה בתמורה כוללת של 55 ש״ח ליחידה. יחד עם זאת, כדי להשלים את </t>
  </si>
  <si>
    <t>המכירה נדרש לבצע ניקוי של פריטי המלאי בעלות 1 ש״ח ליחידה, אריזה שלהם בעלות 3 ש״ח ליחידה, וכן הפצתם ללקוחות</t>
  </si>
  <si>
    <t>בעלות של 6 ש״ח ליחידה.</t>
  </si>
  <si>
    <t>ה. נכון ליום 31.12.2021 כוללת יתרת המלאי בדוחות הכספיים 1,000 יחידות מוצר. העלות ליחידת מוצר הסתכמה ב-40 ש״ח,</t>
  </si>
  <si>
    <t>א. השלימו את טבלת היתרות לעיל.</t>
  </si>
  <si>
    <r>
      <t>ב. חלצו את כל הערכים החסרים בטבלה, המסומנים ב-״?״ [</t>
    </r>
    <r>
      <rPr>
        <u/>
        <sz val="12"/>
        <color theme="1"/>
        <rFont val="David"/>
      </rPr>
      <t>לפני</t>
    </r>
    <r>
      <rPr>
        <sz val="12"/>
        <color theme="1"/>
        <rFont val="David"/>
      </rPr>
      <t xml:space="preserve"> תיקונים ועדכונים לשנה השוטפת].</t>
    </r>
  </si>
  <si>
    <t xml:space="preserve">ג. רשמו פקודות יומן מלאות למתן ביטוי לנתונים הנוספים, ועדכנו את יתרות הטבלה בהתאם. </t>
  </si>
  <si>
    <t>ד. ערכו את הדוחות הכספיים המלאים - הדוח על המצב הכספי (מאזן) ליום 31.12.2021 ודוח רווח והפסד לשנה שהסתיימה</t>
  </si>
  <si>
    <t xml:space="preserve">     באותו תאריך.</t>
  </si>
  <si>
    <t>לגבי המבחן:</t>
  </si>
  <si>
    <t>כולנו ממתינים בכליון עיניים להנחיות הסופיות שתקבענה לגבי אופן ההבחנות. ככלל, המבנה העקרוני איננו שונה - שאלת מסה גדולה</t>
  </si>
  <si>
    <t>ושאלות קטנות בכל נושאי הקורס (בחלקים א ו-ב של הבחינה בהתאמה) ללא תלות באופן ביצוע הבחינה. אלא שאופן ביצוע הבחינה</t>
  </si>
  <si>
    <t>בפועל ישפיע על הכלי בו נבחנים (האם אפשר / אי אפשר קובץ אקסל, למשל) וכיו״ב. לכן, למרות הלחץ, נצטרך להמתין עד להחלטה</t>
  </si>
  <si>
    <t>סופית שמיד אחריה נפרסם הודעה מסודרת בנושא.</t>
  </si>
  <si>
    <t>מטרות:</t>
  </si>
  <si>
    <t>א. תרגול אינטנסיבי מלא של שאלת מסה מ-א׳ עד ת׳ (בעיקר הצד החישובי, אם לא נספיק את הצד של העריכה כי לא נרצה לרוץ עמכם,</t>
  </si>
  <si>
    <t xml:space="preserve">נציג לכם דוחות כספיים מלאים לאחר מכן). </t>
  </si>
  <si>
    <t xml:space="preserve">ב. פרידה מרגשת עד העונג הבא. </t>
  </si>
  <si>
    <r>
      <t xml:space="preserve">הוצאות ארנונה </t>
    </r>
    <r>
      <rPr>
        <b/>
        <sz val="12"/>
        <color theme="1"/>
        <rFont val="David"/>
      </rPr>
      <t>לשלם</t>
    </r>
    <r>
      <rPr>
        <sz val="12"/>
        <color theme="1"/>
        <rFont val="David"/>
      </rPr>
      <t xml:space="preserve"> 1.1.2021</t>
    </r>
  </si>
  <si>
    <t>מלאי פתיחה - 1.1.2021</t>
  </si>
  <si>
    <t xml:space="preserve">          זכיונות, בדומה לפטנטים, שמות מסחריים וכיוצא בזה - יסווגו בדוחות הכספיים לנכסים בלתי מוחשיים בקבוצת הנכסים         </t>
  </si>
  <si>
    <t xml:space="preserve">          הלא שוטפים. </t>
  </si>
  <si>
    <r>
      <rPr>
        <b/>
        <sz val="12"/>
        <color theme="1"/>
        <rFont val="David"/>
      </rPr>
      <t>זכיון:</t>
    </r>
    <r>
      <rPr>
        <sz val="12"/>
        <color theme="1"/>
        <rFont val="David"/>
      </rPr>
      <t xml:space="preserve"> ״רישיון שימוש״ במותג / במשאבים / במערך התפעולי של רשת מסויימת. למשל, זיכיון לפתיחת סניף מקדונלדס באור יהודה.</t>
    </r>
  </si>
  <si>
    <r>
      <rPr>
        <b/>
        <sz val="12"/>
        <color theme="1"/>
        <rFont val="David"/>
      </rPr>
      <t>פריטי ״הוצאה״</t>
    </r>
    <r>
      <rPr>
        <sz val="12"/>
        <color theme="1"/>
        <rFont val="David"/>
      </rPr>
      <t xml:space="preserve"> (הוצאות חשמל, הוצאות טלפון, הוצאות ריבית) כמובן נזקפים להוצאות. </t>
    </r>
  </si>
  <si>
    <r>
      <t xml:space="preserve">יחד עם זאת, חשבונות חתך - </t>
    </r>
    <r>
      <rPr>
        <b/>
        <sz val="12"/>
        <color theme="1"/>
        <rFont val="David"/>
      </rPr>
      <t>״הוצאות מראש״ ו״הוצאות לשלם״ אינם הוצאות</t>
    </r>
    <r>
      <rPr>
        <sz val="12"/>
        <color theme="1"/>
        <rFont val="David"/>
      </rPr>
      <t>, אלא נכסים או התחייבויות:</t>
    </r>
  </si>
  <si>
    <t>הוצאות מראש</t>
  </si>
  <si>
    <t>הוצאות לשלם</t>
  </si>
  <si>
    <r>
      <t xml:space="preserve">א. נכון ליום 31.12.2020, לא שולמו הוצאות ארנונה עבור החודשים נובמבר ודצמבר 2020. ערכן </t>
    </r>
    <r>
      <rPr>
        <u/>
        <sz val="12"/>
        <color theme="1"/>
        <rFont val="David"/>
      </rPr>
      <t>החודשי</t>
    </r>
    <r>
      <rPr>
        <sz val="12"/>
        <color theme="1"/>
        <rFont val="David"/>
      </rPr>
      <t xml:space="preserve"> לחודשים אלו 5,000 ש״ח.</t>
    </r>
  </si>
  <si>
    <t>הסברים נוספים - הגדרות</t>
  </si>
  <si>
    <t>הסברים נוספים - שיחזור ערכים ל-1.1.2021</t>
  </si>
  <si>
    <t>הוצאות ארנונה לשלם  - 1.1.2021:</t>
  </si>
  <si>
    <t>תמיד ולעולם, התחייבות ליום 1.1 של שנה מסוימת, זהה לאותה התחייבות ל-31.12</t>
  </si>
  <si>
    <t>של השנה הקודמת.</t>
  </si>
  <si>
    <t xml:space="preserve">לכן למעשה, הוצ׳ ארנונה לשלם ל-1.1.2021 = 31.12.2020. </t>
  </si>
  <si>
    <t>בנתוני השאלה (נתון א) נאמר שבשנת 2020 לא שולמו הוצאות ארנונה בסך 5,000 ש״ח</t>
  </si>
  <si>
    <t>לחודש, וזאת במשך 2 חודשי השנה (2020) האחרונים, ולכן הוצ׳ הארנונה לשלם</t>
  </si>
  <si>
    <t>לתום 2020 (באלפי ש״ח):</t>
  </si>
  <si>
    <t xml:space="preserve">5 * 2 = </t>
  </si>
  <si>
    <t xml:space="preserve">עודפים 1.1.2021 </t>
  </si>
  <si>
    <t>פחת נצבר מחשבים - 1.1.2021:</t>
  </si>
  <si>
    <t>בהתאם לנתוני השאלה - (בטבלת הנתונים): עלות המחשבים באלפים:</t>
  </si>
  <si>
    <t>אורך החיים בשנים של המחשבים:</t>
  </si>
  <si>
    <t>שיטת הפחת:</t>
  </si>
  <si>
    <t>ערך שייר - גרט:</t>
  </si>
  <si>
    <t>1.9.2020</t>
  </si>
  <si>
    <r>
      <t xml:space="preserve">מועד תחילת ההפחתה - </t>
    </r>
    <r>
      <rPr>
        <b/>
        <sz val="12"/>
        <color theme="1"/>
        <rFont val="David"/>
      </rPr>
      <t>זמינות לשימוש</t>
    </r>
    <r>
      <rPr>
        <sz val="12"/>
        <color theme="1"/>
        <rFont val="David"/>
      </rPr>
      <t>:</t>
    </r>
  </si>
  <si>
    <t>פחת נצבר ממועד הזמינות לשימוש - 1.9.2020 עד ל-31.12.020 (= 1.1.2021):</t>
  </si>
  <si>
    <t xml:space="preserve">[(400 - 0)/5]*(4/12) = </t>
  </si>
  <si>
    <t>הסבר מלא: נטלנו את העלות 400, בניכוי השייר / גרט (0), את כל זה חילקנו בתקופת</t>
  </si>
  <si>
    <t>ההפחתה שהיא 5 שנים, וכך קיבלנו הוצאות פחת לשנה שלמה. אבל, הואיל וההפחתה</t>
  </si>
  <si>
    <t xml:space="preserve">איננה לשנה שלמה, אלא ל-4 חודשים בלבד (חודשים 9, 10, 11, 12 של שנת 2020) </t>
  </si>
  <si>
    <t xml:space="preserve">הרי שעלינו לכפול בחלק היחסי של השנה את ההוצאה השנתית 4/12. </t>
  </si>
  <si>
    <t>מלאי ליום 31.12.2021:</t>
  </si>
  <si>
    <t>לצורך אומדן ערכי מלאי הסגירה ליום 31.12.2021, עלינו להתבסס על נתוני העלות</t>
  </si>
  <si>
    <t>מצד אחד, ושווי המימוש נטו כהגדרתו מן העבר השני. זכרו: מלאי הסגירה תמיד</t>
  </si>
  <si>
    <t>נמדד לפי הנמוך מבין שני ערכים: עלות או שווי מימוש נטו.</t>
  </si>
  <si>
    <t>עלות יח׳:</t>
  </si>
  <si>
    <t>שווי מימוש נטו ליח׳:</t>
  </si>
  <si>
    <t>מחיר מכירה צפוי</t>
  </si>
  <si>
    <t xml:space="preserve">זכרו: שווי המימוש נטו מוגדר בתור התמורה נטו הצפויה ממכירת פריט מלאי שנותר </t>
  </si>
  <si>
    <t xml:space="preserve">בחברה לתום תקופת הדיווח. </t>
  </si>
  <si>
    <t>יש לנכות ממחיר המכירה הצפוי ברוטו, לפיכך, את עלויות ההשלמה - שהן אותן עלויות</t>
  </si>
  <si>
    <t>פיזיות שנוצרות כדי להכין את הפריט למכירה (ניקוי, אריזה, בדיקת תקינות, תיקונים</t>
  </si>
  <si>
    <t>וכיוצא בזה) וכן עלויות שתיווצרנה כדי למכור את הפריט (עמלות הפצה, עמלות סוכנים,</t>
  </si>
  <si>
    <t xml:space="preserve">משלוח ללקוח). </t>
  </si>
  <si>
    <t>במקרה שלנו - עלויות ההשלמה כללו ניקיון ואריזה, ועלויות המכירה כללו משלוח ללקוח.</t>
  </si>
  <si>
    <t>הואיל והנמוך מבין עלות לשווי מימוש נטו במקרה זה - זוהי העלות, נתבסס עליה</t>
  </si>
  <si>
    <t>להצגת ערך המלאי בדוחות הכספיים לתום השנה.</t>
  </si>
  <si>
    <t>ערך חשבונאי ליח׳ מלאי:</t>
  </si>
  <si>
    <t>יח׳ במלאי לתום השנה:</t>
  </si>
  <si>
    <t>ערך חשבונאי מלאי סגירה:</t>
  </si>
  <si>
    <t xml:space="preserve">40 * 1,000 = </t>
  </si>
  <si>
    <t>שיחזור עודפים ליום 1.1.2021:</t>
  </si>
  <si>
    <t>בשלב זה, לאחר סיכום הערכים לאחר השיחזורים הראשוניים, אנו יודעים ש:</t>
  </si>
  <si>
    <t>80 + x</t>
  </si>
  <si>
    <t>כאשר x מייצג את יתרת העודפים שלא נתונה</t>
  </si>
  <si>
    <t>נכסים = התחייבויות + הון עצמי</t>
  </si>
  <si>
    <t>נכסים = התחייבויות + הון עצמי 1.1 + רווח / הפסד השנה</t>
  </si>
  <si>
    <t>בהצבה:</t>
  </si>
  <si>
    <t>2203.333 = 130 + 80 + x + (473 - 528)</t>
  </si>
  <si>
    <t>עדכונים ופקודות יומן - בגין 2021</t>
  </si>
  <si>
    <t>בשלב זה, עלינו לעבור על כל הנתונים הנוספים, ללא יוצא מן הכלל ולוודא שמעדכנים כל מה שצריך, ומתקנים כל רישום שגוי שבוצע.</t>
  </si>
  <si>
    <t>מנהל החשבונות שגה. למעשה, הוא רשם את פקודת היומן הבאה כדי לבטא סילוק התחייבות הוצאות לשלם בגין ארנונה:</t>
  </si>
  <si>
    <t>חובה הוצאות ארנונה 10,000</t>
  </si>
  <si>
    <t>זכות עו״ש בנק 10,000</t>
  </si>
  <si>
    <t>&lt;&lt;&lt;&lt;</t>
  </si>
  <si>
    <t>זו שגיאה! סילוק התחייבות זו לא הוצאה!</t>
  </si>
  <si>
    <t>נרשם בפועל - הנהלת חשבונות:</t>
  </si>
  <si>
    <t>פקודת התיקון:</t>
  </si>
  <si>
    <t>מטרת פקודת התיקון היא ״להעיף״ או ״לבטל״ באופן מלא את הוצאות הארנונה הללו,</t>
  </si>
  <si>
    <t xml:space="preserve">משום שהן אינן הוצאה של 2021 אלא של שנה קודמת. </t>
  </si>
  <si>
    <t xml:space="preserve">במקביל, פקודת היומן תצטרך גם לבטל את ההתחייבות בגין ארנונה לשלם, שהרי </t>
  </si>
  <si>
    <t xml:space="preserve">התחייבות זו סולקה בפקודה זו. </t>
  </si>
  <si>
    <t>זכות הוצאות ארנונה 10,000</t>
  </si>
  <si>
    <t>החלק שמבטל הוצאות ששייכות לשנים קודמות</t>
  </si>
  <si>
    <t>חובה הוצאות לשלם 10,000</t>
  </si>
  <si>
    <t>איפוס ההתחייבות בגין ארנונה לשלם</t>
  </si>
  <si>
    <t xml:space="preserve">טיפ: אם נרשמה פקודה ״מקולקלת״, שגויה, על ידי מנהל החשבונות, ואנו עורכים פקוד תיקון, </t>
  </si>
  <si>
    <t xml:space="preserve">כדי להתגבר על שגיאה זו - עדכון הנתונים בטבלה יבוצע רק על בסיס פקודת התיקון. </t>
  </si>
  <si>
    <t>טבלה מעודכנת אחרי פקודות נוספות:</t>
  </si>
  <si>
    <r>
      <t xml:space="preserve">הוצאות ארנונה לשלם </t>
    </r>
    <r>
      <rPr>
        <b/>
        <sz val="12"/>
        <color rgb="FFFF0000"/>
        <rFont val="David"/>
      </rPr>
      <t>31.12</t>
    </r>
  </si>
  <si>
    <t>״מקורי״</t>
  </si>
  <si>
    <t>החלק הזה של הפקודה נכון! בגינו לא נוגעים בנתונים</t>
  </si>
  <si>
    <t>באופן כללי, בגין כל נתון נוסף העוסק ברכוש קבוע (מכונות, ציוד, כלי רכב, מבנים) - עלינו לוודא</t>
  </si>
  <si>
    <t>שתרשמנה הוצאות פחת על השנה השוטפת (2021) וכן לעדכן את הפחת הנצבר לסוף השנה (31.12.2021).</t>
  </si>
  <si>
    <t>(400 - 0)/5 =</t>
  </si>
  <si>
    <t>תחילה - הוצאות פחת - רק על השנה, רק בגין 2021 - שימו לב, זה על שנה שלמה כי הפריט היה אצלי</t>
  </si>
  <si>
    <t>כל השנה:</t>
  </si>
  <si>
    <t>פקודת יומן - הוצ׳ פחת:</t>
  </si>
  <si>
    <t>חובה הוצאות פחת</t>
  </si>
  <si>
    <t>זכות פחת נצבר - מחשבים</t>
  </si>
  <si>
    <t>כי הוצאות הן תמיד בחובה</t>
  </si>
  <si>
    <t>כי פחת נצבר מקטין נכסים</t>
  </si>
  <si>
    <t>הוצאות פחת (מחשבים)</t>
  </si>
  <si>
    <t>מחשבים - פחת נצבר 31.12</t>
  </si>
  <si>
    <t>שימו לב: בטבלת הערכים המעודכנים, הוצאות הפחת נרשמות בשורה נפרדת חדשה כדי לתת להן ביטוי.</t>
  </si>
  <si>
    <t>לעומת זאת, הפחת הנצבר בגין המחשבים העדכני, יהיה מורכב מהפחת הנצבר איתו התחלנו את השנה</t>
  </si>
  <si>
    <t>בתוספת הפחת שהתווסף השנה, וכמובן - הערך הכולל יוצב בנכסים בסימן שלילי:</t>
  </si>
  <si>
    <t>פחת נצבר מחשבים 1.1</t>
  </si>
  <si>
    <t>פחת נוסף השנה</t>
  </si>
  <si>
    <t>פחת נצבר מחשבים 31.12</t>
  </si>
  <si>
    <t>&lt;&lt;&lt;</t>
  </si>
  <si>
    <t>יוצג בנכסים בסימן שלילי</t>
  </si>
  <si>
    <t>האם זה נכון להגיד שיש כאן פריט רכוש קבוע?</t>
  </si>
  <si>
    <t>כן!</t>
  </si>
  <si>
    <t xml:space="preserve">לכן העדכון הבסיסי שאנו חייבים לרשום הוא בגין הוצאות הפחת עבור הפריט. </t>
  </si>
  <si>
    <t>בהתאם לנתוני טבלת הנתונים בשאלה עצמה, נתון שהאייפונים עלו 700 אלפי ש״ח.</t>
  </si>
  <si>
    <t>הוצאות פחת השנה:</t>
  </si>
  <si>
    <t xml:space="preserve">[(700 - 0) / 3] * 4/12 = </t>
  </si>
  <si>
    <t>זכות פחת נצבר - טלפונים</t>
  </si>
  <si>
    <t>הוצאות פחת (טלפונים)</t>
  </si>
  <si>
    <t>פחת נצבר טלפונים סלולריים</t>
  </si>
  <si>
    <t>כעת נטפל בעסקת מכירת הטלפון:</t>
  </si>
  <si>
    <t>ראשית, מכרו טלפון אחד מתוך ה-100.</t>
  </si>
  <si>
    <t>כל 100 הטלפונים עלו 700 אלפי ש״ח.</t>
  </si>
  <si>
    <t>טלפון אחד עלה:</t>
  </si>
  <si>
    <t>הפחת הנצבר עליו עד מכירתו:</t>
  </si>
  <si>
    <t xml:space="preserve">[(7 - 0) / 3] * 4/12 = </t>
  </si>
  <si>
    <t>עלות מופחת ערב המכירה</t>
  </si>
  <si>
    <t xml:space="preserve"> 7 - 0.778 = </t>
  </si>
  <si>
    <t>תמורת המכירה</t>
  </si>
  <si>
    <t>עלות מופחתת ערב המכירה</t>
  </si>
  <si>
    <t>נתון בשאלה</t>
  </si>
  <si>
    <t>חושב לעיל</t>
  </si>
  <si>
    <t>אם מכרתי והרווחתי 1, מכרתי ב-1 מעל עלות מופחתת.</t>
  </si>
  <si>
    <t>השפעת המכירה:</t>
  </si>
  <si>
    <t>חובה עו״ש</t>
  </si>
  <si>
    <t>כי המזומן/עו״ש גדל בגובה מלוא תמורת המכירה</t>
  </si>
  <si>
    <t>זכות טלפונים - עלות</t>
  </si>
  <si>
    <t>מחשבון העלות יש לבטל טלפון אחד שעלותו ההיסטורית 7</t>
  </si>
  <si>
    <t>חובה פחת נצבר - טלפונים</t>
  </si>
  <si>
    <t>מכירת פריט דורשת גם ביטול הפחת הנצבר בגינו</t>
  </si>
  <si>
    <t>לפי התמורה:</t>
  </si>
  <si>
    <t>לפי עלות של הנמכר:</t>
  </si>
  <si>
    <t>לפי פחת נצבר של הנמכר:</t>
  </si>
  <si>
    <t>לפי רווח ההון (הכנסה):</t>
  </si>
  <si>
    <t>זכות רווח הון</t>
  </si>
  <si>
    <t>כי רווח הון הוא סוג של הכנסה</t>
  </si>
  <si>
    <t>רווח הון (מכירת סלולר)</t>
  </si>
  <si>
    <t>הואיל ולטענת חשב החברה, אין לתעד סכומים כהכנסה כל עוד לא נתקבל תשלום בעדם. שווי השירות שסופק הוא 50,000 ש״ח.</t>
  </si>
  <si>
    <t>הואיל ולטענת חשב החברה, אין לתעד סכומים כהכנסה כל עוד לא נתקבל תשלום בעדם. שווי השירות שסופק 50,000 ש״ח.</t>
  </si>
  <si>
    <t>שימו לב: אין זה משנה אם מדובר בעסקה חד פעמית או לא; בגין עסקאות שבמסגרתן הענקנו</t>
  </si>
  <si>
    <t>שירות במהלך השנה, יש להעניק ביטוי לשווי השירות שסופק כהכנסה.</t>
  </si>
  <si>
    <t>חובה הכנסות לקבל</t>
  </si>
  <si>
    <t>מדוע הכנסה? משום ששווי שירות שמסופק השנה הוא תמיד הכנסה של השנה.</t>
  </si>
  <si>
    <t>מדוע הכנסות לקבל? משום שמדובר בנכס המשקף שווי שירות שסופק ותמורתו טרם נתקבלה.</t>
  </si>
  <si>
    <t>הכנסות לקבל</t>
  </si>
  <si>
    <t>זכות הכנסה אחרת</t>
  </si>
  <si>
    <t>הכנסה אחרת (שירות חד פעמי)</t>
  </si>
  <si>
    <t>הדוחות הכספיים המלאים (יש לערוך רק לאחר כל יתר השלבים האחרים):</t>
  </si>
  <si>
    <t>חברת ״מבודדים כל היום״ - דוח רווח והפסד לשנה שנסתיימה ביום 31.12.2021</t>
  </si>
  <si>
    <t>חברת ״מבודדים כל היום״ - הדוח על המצב הכספי (מאזן) ליום 31.12.2021</t>
  </si>
  <si>
    <t>נכסים שוטפים</t>
  </si>
  <si>
    <t>נכסים לא שוטפים</t>
  </si>
  <si>
    <t>סך הנכסים</t>
  </si>
  <si>
    <t>התחייבויות שוטפות</t>
  </si>
  <si>
    <t>סך ההתחייבויות וההון העצמי</t>
  </si>
  <si>
    <t>מזומן (עו״ש וקופה)</t>
  </si>
  <si>
    <t>הכנסות אחרות</t>
  </si>
  <si>
    <t>נכסים בלתי מוחשיים</t>
  </si>
  <si>
    <t>סה״כ נכסים שוטפים</t>
  </si>
  <si>
    <t>סה״כ נכסים לא שוטפים</t>
  </si>
  <si>
    <t>חייבים (הכנסות לקבל)</t>
  </si>
  <si>
    <t>סה״כ התחייבויות שוטפות</t>
  </si>
  <si>
    <r>
      <t xml:space="preserve">השווי הכספי של פעילות צורכת ערך כלומר שווי שירותים או משאבים שנצרכו </t>
    </r>
    <r>
      <rPr>
        <b/>
        <u/>
        <sz val="12"/>
        <rFont val="David"/>
      </rPr>
      <t>השנה</t>
    </r>
    <r>
      <rPr>
        <sz val="12"/>
        <rFont val="David"/>
      </rPr>
      <t>.</t>
    </r>
  </si>
  <si>
    <r>
      <t xml:space="preserve">השווי הכספי של פעילות יוצרת ערך כלומר שווי עסקאות המכירה או שווי השירות שסיפקה החברה </t>
    </r>
    <r>
      <rPr>
        <b/>
        <u/>
        <sz val="12"/>
        <rFont val="David"/>
      </rPr>
      <t>השנה</t>
    </r>
    <r>
      <rPr>
        <sz val="12"/>
        <rFont val="David"/>
      </rPr>
      <t>.</t>
    </r>
  </si>
  <si>
    <t>זכאים שונים</t>
  </si>
  <si>
    <t>הכנסות ממתן שירות</t>
  </si>
  <si>
    <t>רווח מניירות ערך</t>
  </si>
  <si>
    <t>רווח מעליית נדל״ן</t>
  </si>
  <si>
    <t>הוצאות טלפון</t>
  </si>
  <si>
    <t>הוצאות אחזקה</t>
  </si>
  <si>
    <t>הוצאות רכב</t>
  </si>
  <si>
    <t>שכר טרחת עו״ד</t>
  </si>
  <si>
    <t>עמלות בנק</t>
  </si>
  <si>
    <t>הפסד מירידת ערך</t>
  </si>
  <si>
    <t>דמי ניהול</t>
  </si>
  <si>
    <t>שכר עבודה</t>
  </si>
  <si>
    <t>סיכום ביניים:</t>
  </si>
  <si>
    <t>עד כה הגדרנו 5 קבוצות של סוגי ערכים כספיים שאנו מחויבים להכיר:</t>
  </si>
  <si>
    <t xml:space="preserve">נכסים = המשקפים הטבה צפויה (פריטי רכוש לסוגיהם, לקוחות וכיוצא בזה). </t>
  </si>
  <si>
    <t xml:space="preserve">התחייבויות = המשקפות יציאת הטבה צפויה (פריטי הלוואות לסוגיהן, וכן ספקים וכיוצא בזה). </t>
  </si>
  <si>
    <t xml:space="preserve">הון עצמי = ההפרש בין הנכסים לבין ההתחייבויות (כרגע: הון המניות = השקעת בעלים, ועודפים = רווח מצטבר). </t>
  </si>
  <si>
    <r>
      <t xml:space="preserve">הכנסות = פעילות עסקית יוצרת ערך שבוצעה </t>
    </r>
    <r>
      <rPr>
        <u/>
        <sz val="12"/>
        <rFont val="David"/>
      </rPr>
      <t>השנה</t>
    </r>
    <r>
      <rPr>
        <sz val="12"/>
        <rFont val="David"/>
      </rPr>
      <t xml:space="preserve"> (מתן שירות, מכירות, עליות ערך). </t>
    </r>
  </si>
  <si>
    <r>
      <t xml:space="preserve">הוצאות = פעילות עסקית צורכת ערך שבוצעה </t>
    </r>
    <r>
      <rPr>
        <u/>
        <sz val="12"/>
        <rFont val="David"/>
      </rPr>
      <t>השנה</t>
    </r>
    <r>
      <rPr>
        <sz val="12"/>
        <rFont val="David"/>
      </rPr>
      <t xml:space="preserve"> (צריכת שירות, ירידת ערך).</t>
    </r>
  </si>
  <si>
    <t>הון מניות:</t>
  </si>
  <si>
    <t>זוהי השקעת בעלים. והואיל והשקעת הבעלים איננה מייצרת מחויבות של החברה כלפיו (בשונה מהלוואות או אגרות</t>
  </si>
  <si>
    <t xml:space="preserve">חוב למשל) הרי שמדובר במקור מימון הוני. </t>
  </si>
  <si>
    <t>עודפים (יתרת רווח):</t>
  </si>
  <si>
    <t>מדובר בסיכום הרווחים שנצברו בחברה ממועד הקמתה. מדובר במקור מימון (שמוביל לגידול בנכסים) ואיננו יוצר</t>
  </si>
  <si>
    <t>התחייבות, ולכן, זהו מקור מימון הוני.</t>
  </si>
  <si>
    <t>תרגול עצמי (לא להגשה) לאחר מפגש 1 - מבוא לחשבונאות פיננסית</t>
  </si>
  <si>
    <t>ביום 31 בדצמבר 2022 מסר לעיונכם מנהל החשבונות של חברת ״מקבוקים״ בע״מ את רשימת יתרות כרטיסי החשבון-</t>
  </si>
  <si>
    <t xml:space="preserve">הערכים הכספיים, בחברה זו. זוהי חברה מסחרית העוסקת בשיווק מוצרים שונים, אך איננה מחזיקה מלאי. </t>
  </si>
  <si>
    <t>יתרה כספית
בש״ח</t>
  </si>
  <si>
    <t>קופת מזומן</t>
  </si>
  <si>
    <t>מכונות</t>
  </si>
  <si>
    <t>פיקדון לזמן קצר</t>
  </si>
  <si>
    <t>מבנים</t>
  </si>
  <si>
    <t>זכאים</t>
  </si>
  <si>
    <t>שכר טרחת רואה חשבון</t>
  </si>
  <si>
    <t>פיקדון לזמן ארוך</t>
  </si>
  <si>
    <t>הלוואה לזמן קצר</t>
  </si>
  <si>
    <t>הלוואה לזמן ארוך</t>
  </si>
  <si>
    <t>משיכת יתר (מינוס בבנק)</t>
  </si>
  <si>
    <t>כלי רכב</t>
  </si>
  <si>
    <t>מותגים</t>
  </si>
  <si>
    <t>שמות מסחריים</t>
  </si>
  <si>
    <t>עלות המכירות</t>
  </si>
  <si>
    <t xml:space="preserve">דמי ניהול </t>
  </si>
  <si>
    <t>עמלות הפצה</t>
  </si>
  <si>
    <t>הכנסות ממכירות</t>
  </si>
  <si>
    <t>שכר דירה</t>
  </si>
  <si>
    <t>נדרש - השלימו את הטבלה: סווגו כל אחד מהערכים לנכסים / התחייבויות / הון / הכנסות / הוצאות.</t>
  </si>
  <si>
    <t xml:space="preserve">נסו לבד! הפתרון המלא בהמשך. </t>
  </si>
  <si>
    <t>מבוא לחשבונאות פיננסית - שיעור מס׳ 2 - הדוח על המצב הכספי והדוחות הכספיים בכלל</t>
  </si>
  <si>
    <t>רענון:</t>
  </si>
  <si>
    <t>השלב הבא הוא לקחת את הסיווג הבסיסי הזה צעד אחד קדימה, ולערוך דוחות כספיים מלאים על בסיס היתרות</t>
  </si>
  <si>
    <t>את הזהות בין הנכסים לבין ההתחייבויות וההון, וכולל, כמובן, בנייה מלאה של כלל הדיווח.</t>
  </si>
  <si>
    <t>ומה מטרת המפגש הנוכחי, אם כך?</t>
  </si>
  <si>
    <t>נתחיל בהצגה בסיסית של מבנה הדוחות הכספיים:</t>
  </si>
  <si>
    <t>הסעיפים (סוגי הפירוטים) הנכללים בדוח, לפיכך, צריכים להיות מתואמים עם פעילות החברה. כך למשל,</t>
  </si>
  <si>
    <t>אין זה הגיוני לטעון שיש להציג סעיף ״מכירות״ בדוח רווח והפסד של חברה שמעניקה שירותים ואיננה מבצעת</t>
  </si>
  <si>
    <t xml:space="preserve">מכירות כלל. </t>
  </si>
  <si>
    <t>הוצאות / הכנסות אחרות</t>
  </si>
  <si>
    <t>רווח תפעולי</t>
  </si>
  <si>
    <t>רווח לפני מסים על ההכנסה</t>
  </si>
  <si>
    <t>מסים על ההכנסה</t>
  </si>
  <si>
    <t>רווח נקי</t>
  </si>
  <si>
    <t>מכירות המוצרים העיקריים שבמכירתם החברה עוסקת בשוטף</t>
  </si>
  <si>
    <t>עלות המוצרים שנמכרו (ללא עלויות נלוות שיופיעו בסעיפים הבאים)</t>
  </si>
  <si>
    <t>ההפרש בין המכירות לבין עלות המכירות</t>
  </si>
  <si>
    <t>הוצאות פרסום, שיווק וגם עלויות הכרוכות בהפצת המוצר וניהול סניפים</t>
  </si>
  <si>
    <t>כל ההוצאות שאין להן שיוך ספציפי: חשמל, טלפון, אחזקה ועוד</t>
  </si>
  <si>
    <t>ההפרש בין הרווח הגולמי להוצ׳ מכירה ושיווק, הנהלה וכלליות ואחרות</t>
  </si>
  <si>
    <t>עלויות ריבית, עמלות בנק ועלויות פיננסיות דומות</t>
  </si>
  <si>
    <t>הכנסות ריבית, רווחים פיננסיים כגון מניירות ערך</t>
  </si>
  <si>
    <t>רווח תפעולי בניכוי הוצאות מימון בתוספת הכנסות מימון</t>
  </si>
  <si>
    <t>אין צורך להסביר. כולנו מכירים לצערנו</t>
  </si>
  <si>
    <t>רווח לפני מסים על ההכנסה בניכוי מסים על ההכנסה</t>
  </si>
  <si>
    <t xml:space="preserve">כמובן, הסבר מלא ומפורט יותר נעניק על בסיס תרגולים בנושא. לעת עתה, נסתפק בכך. </t>
  </si>
  <si>
    <t>סך הנכסים השוטפים</t>
  </si>
  <si>
    <t>התחייבויות לא שוטפות</t>
  </si>
  <si>
    <t>אגרות חוב</t>
  </si>
  <si>
    <t>המבנה הבסיסי של הדוח על המצב הכספי הוא כדלקמן (ייתכנו ערכים נוספים יש לשפוט על פי מהות):</t>
  </si>
  <si>
    <t>נעבור מיד לתרגול מתבקש:</t>
  </si>
  <si>
    <t>חברת ״פינוקיו המשודרג״ בע״מ היא חברה מסחרית העוסקת בשיווק מוצרי עץ להרכבה עצמית. החברה איננה</t>
  </si>
  <si>
    <t>נוהגת להחזיק במלאי.</t>
  </si>
  <si>
    <t>קופת מזומן - סניף המכירות</t>
  </si>
  <si>
    <t>קופת מזומן - הנהלה</t>
  </si>
  <si>
    <t>הוצאות פרסום - שילוט חוצות</t>
  </si>
  <si>
    <t>הוצאות פרסום - דיוור ישיר</t>
  </si>
  <si>
    <t>הוצאות שכר ומשכורות - שיווק</t>
  </si>
  <si>
    <t>הוצאות שכר ומשכורות - הנהלה</t>
  </si>
  <si>
    <t>ציוד</t>
  </si>
  <si>
    <t>ריהוט - משרד המנכ״ל</t>
  </si>
  <si>
    <t>הון עצמי ליום 1.1.2020</t>
  </si>
  <si>
    <t>משיכת יתר (אוברדראפט)</t>
  </si>
  <si>
    <t>זכאים אחרים</t>
  </si>
  <si>
    <t>א. מיינו את רשימת הכרטיסים לנכסים / התחייבויות / הון / הכנסות / הוצאות.</t>
  </si>
  <si>
    <t xml:space="preserve">ב. חלצו את ההון העצמי ליום 1.1.2020. </t>
  </si>
  <si>
    <t xml:space="preserve">ג. ערכו את הדוח על המצב הכספי (מאזן) ואת דוח רווח והפסד לשנת 2020. </t>
  </si>
  <si>
    <t xml:space="preserve">שיקים (המחאות) לקבל </t>
  </si>
  <si>
    <t>שיקים (המחאות) לפירעון</t>
  </si>
  <si>
    <t>עמלת סוכני מכירות</t>
  </si>
  <si>
    <t>שאלה 1 - מיון כרטיסים</t>
  </si>
  <si>
    <t>שאלה 2 - חברת ״פינוקיו המשודרג״ - סיווג יתרות ועריכת דוחות כספיים בחברה מסחרית</t>
  </si>
  <si>
    <t>מס׳ שיעור</t>
  </si>
  <si>
    <t>נושא</t>
  </si>
  <si>
    <t>חומרים נוספים</t>
  </si>
  <si>
    <t>תכנית שיעורים מפורטת</t>
  </si>
  <si>
    <t>פתרון השאלה (נפתור יחד)</t>
  </si>
  <si>
    <t>להלן יתרות כרטיסי חשבון רלוונטיים, כולם מעודכנים ליום 31.12.2020 אלא אם נאמר מפורשות אחרת:</t>
  </si>
  <si>
    <t>מכירה ושיווק</t>
  </si>
  <si>
    <t>הון עצמי 1.1</t>
  </si>
  <si>
    <t>שאלה בסיסית: האם ניתן לחלץ את ההון העצמי ל-1.1?</t>
  </si>
  <si>
    <t>אנו יודעים:</t>
  </si>
  <si>
    <t>בפיתוח:</t>
  </si>
  <si>
    <t>בפיתוח המשך:</t>
  </si>
  <si>
    <r>
      <t xml:space="preserve">נכסים = התחייבויות + </t>
    </r>
    <r>
      <rPr>
        <sz val="12"/>
        <color rgb="FFFF0000"/>
        <rFont val="David"/>
      </rPr>
      <t xml:space="preserve">הון עצמי 1.1 + </t>
    </r>
    <r>
      <rPr>
        <u/>
        <sz val="12"/>
        <color rgb="FFFF0000"/>
        <rFont val="David"/>
      </rPr>
      <t>רווח השנה</t>
    </r>
  </si>
  <si>
    <r>
      <t xml:space="preserve">נכסים = התחייבויות + </t>
    </r>
    <r>
      <rPr>
        <sz val="12"/>
        <color rgb="FFFF0000"/>
        <rFont val="David"/>
      </rPr>
      <t xml:space="preserve">הון עצמי 1.1 + </t>
    </r>
    <r>
      <rPr>
        <u/>
        <sz val="12"/>
        <color rgb="FFFF0000"/>
        <rFont val="David"/>
      </rPr>
      <t>(הכנסות - הוצאות)</t>
    </r>
  </si>
  <si>
    <t>הוצאות + נכסים = התחייבויות + הון עצמי 1.1 + הכנסות</t>
  </si>
  <si>
    <t>נציב נתוני השאלה:</t>
  </si>
  <si>
    <t>x</t>
  </si>
  <si>
    <t>המשוואה:</t>
  </si>
  <si>
    <t>836,000 + x + 260,000 = 1,851,000 + 442,000</t>
  </si>
  <si>
    <t>וההון העצמי המחולץ ליום 1.1.2020 הוא:</t>
  </si>
  <si>
    <t>וכעת: עריכת דוחות כספיים מלאים - דוח רווח והפסד:</t>
  </si>
  <si>
    <t>ביאורים = פירוטים בדבר ההרכב ו/או המשמעות של סעיפים שונים בדוחות.</t>
  </si>
  <si>
    <t>משקף את סך ההכנסות ממכירות המוצרים העיקריים בחברה.</t>
  </si>
  <si>
    <t>ההרכב:</t>
  </si>
  <si>
    <t>מכירות ״ברוטו״</t>
  </si>
  <si>
    <t>בניכוי הנחות מסחריות ללקוחות</t>
  </si>
  <si>
    <t>מכירות ״נטו״ לצורך הצגה ברווח והפסד</t>
  </si>
  <si>
    <t>במקרה שלנו: אין נתונים על מכירות ברוטו / הנחות וכו׳, אלא סכום המכירות נטו נתון.</t>
  </si>
  <si>
    <t>למשל, אם היה נתון:</t>
  </si>
  <si>
    <t>מכירות, ברוטו</t>
  </si>
  <si>
    <t>אז היינו מחשבים את המכירות נטו כך:</t>
  </si>
  <si>
    <t xml:space="preserve">כל העלויות שקשורות לפרסום המוצר, הפצתו ושיווקו. </t>
  </si>
  <si>
    <t>הוצאות פרסום - שיווק ישיר</t>
  </si>
  <si>
    <t xml:space="preserve">הוצאות שכר ומשכורות - שיווק </t>
  </si>
  <si>
    <t>זוהי ברירת המחדל לכל ההוצאות שאינן כלולות בעלות המכר / מימון.</t>
  </si>
  <si>
    <t>מדובר בפריטי הכנסה חריגים, כאלו שמתרחשים לעתים רחוקות יחסית, ואינם חלק מליבת העיסוק</t>
  </si>
  <si>
    <t xml:space="preserve">של החברה. כאן, מדובר ברווח הון ממכירת רכוש קבוע (כגון מכירת רכב מנכ״ל). </t>
  </si>
  <si>
    <t>דוגמאות נוספות תכלולנה: רווח ממכירת מבנים / נדל״ן להשקעה, רווח מדמי שכירות, הכנסה חד פעמית</t>
  </si>
  <si>
    <t>מייעוץ בחברה מסחרית.</t>
  </si>
  <si>
    <t>הכנסות מימון:</t>
  </si>
  <si>
    <t>נערוך כעת את הדוח על המצב הכספי - המאזן - ל-31.12.2020:</t>
  </si>
  <si>
    <t>התחייבויות וההון העצמי</t>
  </si>
  <si>
    <t>מזומן (כלל הקופות ועו״ש)</t>
  </si>
  <si>
    <t>לקוחות (כולל שיקים לקבל)</t>
  </si>
  <si>
    <t>מדובר בסעיף הכלול בנכסים הלא שוטפים, והוא מהווה את הסיכום של כלל הנכסים המוחשיים ארוכי הטווח בחברה.</t>
  </si>
  <si>
    <t>כגון: מכונות, ציוד, כלי רכב, מבנים, ריהוט, מחשבים וכיו״ב.</t>
  </si>
  <si>
    <t>במקרה שלנו:</t>
  </si>
  <si>
    <t>נכסים לא שוטפים שאינם פיזיים. דוגמאות נפוצות: פטנטים (ידע), זיכיון (זכות שימוש במותג), שמות מסחריים וכיוצא</t>
  </si>
  <si>
    <t>בזה. בשאלה הנדונה, מדובר בפטנטים בלבד:</t>
  </si>
  <si>
    <t>אשראי לזמן קצר:</t>
  </si>
  <si>
    <t xml:space="preserve">במהות, הלוואות לזמן קצר ומשיכת יתר (מינוס בבנק) הם סוגי אשראי מאד דומים. </t>
  </si>
  <si>
    <t xml:space="preserve">לכן, לטובת הצגה תמציתית לקורא הדוח, מקובל לאחד ביניהם. </t>
  </si>
  <si>
    <t>ספקים (כולל שיקים לפירעון)</t>
  </si>
  <si>
    <t>1,197,000 +</t>
  </si>
  <si>
    <t>רווח נקי השנה</t>
  </si>
  <si>
    <t>מדוח</t>
  </si>
  <si>
    <t>עודפים (רווחים היסטוריים שנצברו)</t>
  </si>
  <si>
    <t>הון מניות ופרמיה (השקעת בעלים)</t>
  </si>
  <si>
    <t>הסברים והגדרות נוספות לשאלה 4 מחוברת התרגילים - יונית</t>
  </si>
  <si>
    <t>פחת נצבר כלי רכב:</t>
  </si>
  <si>
    <t xml:space="preserve">באופן כללי, ״כלי רכב״ מהווים נכס. </t>
  </si>
  <si>
    <t>אבל אין ספק גם שכאשר משתמשים בכלי הרכב (או באופן כללי, בפריט רכוש קבוע) תקופה ממושכת,</t>
  </si>
  <si>
    <t>הוא נשחק, מתבלה, וערכו קטן.</t>
  </si>
  <si>
    <t>הדרך שבה נתייחס לקיטון בערך / סכום השחיקה (בלאי) = פחת נצבר.</t>
  </si>
  <si>
    <t xml:space="preserve">למשל: למאי יש מכונית שעלתה לה 50,000 ש״ח. </t>
  </si>
  <si>
    <t>נכון ליום 31.12.2020 הפחת הנצבר בגין המכונית: 20,000 ש״ח.</t>
  </si>
  <si>
    <t>כיצד תוצג המכונית?</t>
  </si>
  <si>
    <t>בטבלת הסיווגים:</t>
  </si>
  <si>
    <t>מכונית</t>
  </si>
  <si>
    <t>יתרות</t>
  </si>
  <si>
    <t>הון</t>
  </si>
  <si>
    <t>בדוח על המצב הכספי - רכוש קבוע לפי עלות בניכוי פחת נצבר:</t>
  </si>
  <si>
    <t xml:space="preserve">50,000 - 20,000 = </t>
  </si>
  <si>
    <t>עלות המכירות - הגדרה מלאה על בסיס רכיבים</t>
  </si>
  <si>
    <t>בתרגיל שפתרנו בכיתה - עלות המכר היתה נתונה.</t>
  </si>
  <si>
    <t>בתרגיל יונית היא לא נתונה, ויש לחשבה על בסיס רכיביה המפורטים, כדלקמן:</t>
  </si>
  <si>
    <t>מלאי פתיחה 1.1</t>
  </si>
  <si>
    <t>מלאי סגירה 31.12</t>
  </si>
  <si>
    <t>בשאלת יונית ספציפית אין עלות כזו</t>
  </si>
  <si>
    <t>בשאלת יונית</t>
  </si>
  <si>
    <t>הנחות מסחריות מספקים/שהתקבלו</t>
  </si>
  <si>
    <t>בהתאם לנתון 2 בשאלת יונית</t>
  </si>
  <si>
    <t xml:space="preserve">הוצאות בגין שחיקה של פריט רכוש קבוע, ספציפית, השנה. </t>
  </si>
  <si>
    <t>אלא אם נאמר אחרת - נשייך להנהלה וכלליות.</t>
  </si>
  <si>
    <t>סוגיית ההנחות - פירוט מלא של אופן ההתייחסות</t>
  </si>
  <si>
    <t>הנחות מסחריות מספקים / שהתקבלו</t>
  </si>
  <si>
    <t>הנחות מסחריות ללקוחות / שניתנו</t>
  </si>
  <si>
    <t>הנחות מזומן ללקוחות / שניתנו</t>
  </si>
  <si>
    <t>הנחות מזומן מספקים / שהתקבלו</t>
  </si>
  <si>
    <t>קיטון בהוצאות</t>
  </si>
  <si>
    <t>קיטון בהכנסות</t>
  </si>
  <si>
    <t>רווח הון (ממכירת רכוש קבוע)</t>
  </si>
  <si>
    <t>תרגול נוסף לתרגול עצמי (לא להגשה) - מבוא לחשבונאות פיננסית - לאחר הרצאה 2</t>
  </si>
  <si>
    <t>שכר טרחת עורך דין</t>
  </si>
  <si>
    <t>הנחות מזומן לספקים / שהתקבלו</t>
  </si>
  <si>
    <t>הנחות מסחריות מספקים (שהתקבלו)</t>
  </si>
  <si>
    <t>פחת נצבר כלי רכב</t>
  </si>
  <si>
    <t>מלאי פתיחה ליום 1.1</t>
  </si>
  <si>
    <t>מלאי סגירה ליום 31.12</t>
  </si>
  <si>
    <t>טיפים:</t>
  </si>
  <si>
    <t xml:space="preserve">חלק גדול מהמושגים לעיל מוגדרים בשאלת יונית. לאחר התרגול יהיה לכם קל יותר להתמודד עמם. </t>
  </si>
  <si>
    <t>בינתיים, הוספתי לכם לגיליון 2 - יונית, התייחסות למושגים עיקריים אלו.</t>
  </si>
  <si>
    <t>כמובן, בשלב זה אין להעמיק בנושאים אלו, אלא רק לדעת עקרונית את הגדרתם. ההעמקה בהם תבוצע במסגרת הדיון בנושאים הבאים.</t>
  </si>
  <si>
    <t>עודפים ל- 1.1</t>
  </si>
  <si>
    <t>הנחת מזומן שהתקבלה היא כעין ריבית על הקדמת תשלום, לכן סוג של הכנסת מימון</t>
  </si>
  <si>
    <t>הנהלה וכלליות</t>
  </si>
  <si>
    <t xml:space="preserve">הנחת מסחרית מספק למעשה מקטינה את סכום הקניה / ההוצאה, לכן מסווגת בעמודת ההוצאות בסימן שלילי (מקטינה את סעיף ההוצאות ״עלות המכר״). </t>
  </si>
  <si>
    <t xml:space="preserve">פחת נצבר משקף שחיקה / קיטון מצטבר בערכו של נכס. כלומר, שווי הנכס לצורך הצגה במאזן ייקבע לפי העלות (״כלי רכב״) בניכוי הפחת הנצבר (״פחת נצבר כלי רכב״) </t>
  </si>
  <si>
    <t>הנחה מסחרית ללקוח למעשה מקטינה את סכום המכירה. לכן מסווגת לעמודת ההכנסות (בדומה למכירות) אך ךבסימן שלילי</t>
  </si>
  <si>
    <t>חלק מעלות המכירות</t>
  </si>
  <si>
    <t>מדובר במעין ריבית על הקדמת עיתוי קבלת הכסף מלקוח, לכן כעין הוצאות מימון</t>
  </si>
  <si>
    <t>הכנסות חריגות משירות</t>
  </si>
  <si>
    <t>בדוח על המצב הכספי (המאזן) מלאי הוא נכס כמובן, אך במקביל הוא מקטין את עלות המכירות לפי ההגדרה. זהו הסעיף היחיד שנזקף לשני מקומות</t>
  </si>
  <si>
    <t>מאותה הסיבה, אין כל חובה לערוך דוח מלא מורכב על בסיס כל היתרות הללו. את השילובים נבצע בהמשך, כרגע רק להכיר את ההגדרות זה מספיק,</t>
  </si>
  <si>
    <t xml:space="preserve">לצד, כמובן תרגילי התרגול ותרגיל הכיתה שהם מעט יותר פשוטים. </t>
  </si>
  <si>
    <t>ביום 31 בדצמבר 2022 מסר לעיונכם מנהל החשבונות של חברת ״פנטומימים״ בע״מ את רשימת יתרות כרטיסי החשבון-</t>
  </si>
  <si>
    <t>הערכים הכספיים, בחברה זו. זוהי חברה מסחרית העוסקת בשיווק מוצרים שונים.</t>
  </si>
  <si>
    <t>הערה מצויינת שניתנה על ידי שילת שתיקנה טעות שלי בסיווג:</t>
  </si>
  <si>
    <t>שכר דירה = אם לא נאמר, זו הוצאה.</t>
  </si>
  <si>
    <t xml:space="preserve">זו תהיה הכנסה, רק בליווי כגון ״הכנסות שכר דירה״. </t>
  </si>
  <si>
    <t xml:space="preserve">עד כה - עסקנו בעריכת דיווחים כספיים - כאשר היתרות הכספיות (הערכים הכספיים מכל סוג) היו נתונות. </t>
  </si>
  <si>
    <t>כלומר, קיבלנו רשימה, וכל מה שהיינו צריכים לעשות זה לסווג (לשייך) את רכיבי הרשימה לדוחות השונים.</t>
  </si>
  <si>
    <t>כמובן שחלק מההבנה המלאה של המידע החשבונאי עוסקת לא רק בסיווג ושיוך - אלא גם בתיעוד עסקאות ספציפיות,</t>
  </si>
  <si>
    <t xml:space="preserve">על כלל ההיבטים שלהן. </t>
  </si>
  <si>
    <t xml:space="preserve">כל אירוע כלכלי בחברה, שעה שעה, יום יום, צריך לקבל ביטוי באופן מפורש וספציפי כדי לבטא את מכלול ההשפעות </t>
  </si>
  <si>
    <t xml:space="preserve">שנוצרו כתוצאה ממנו. </t>
  </si>
  <si>
    <t xml:space="preserve">הרישום איננו ״מתמטי״ טהור אלא מתבסס על טכניקה רישומית שנקראת ״פקודות יומן״ - Journal Entries. </t>
  </si>
  <si>
    <t xml:space="preserve">הרישום יבוצע מנקודת ראות החברה, ולחלק מכם ירגיש ״הפוך מההיגיון״. נדבר על זה, נדגים. </t>
  </si>
  <si>
    <t>שלבי למידה בנושא פקודות יומן:</t>
  </si>
  <si>
    <t>שלב 1: הצגה מתמטית של כל עסקה לפי המשוואה: נכסים = התחייבויות + הון עצמי</t>
  </si>
  <si>
    <t>שלב 2: המרה של הרישום המתמטי / טבלאי לפקודות יומן לפי ההגדרות המתאימות</t>
  </si>
  <si>
    <r>
      <t xml:space="preserve">הדרך לתת ביטוי לעסקאות אלו חייבת לשמור על הזהות: </t>
    </r>
    <r>
      <rPr>
        <b/>
        <sz val="12"/>
        <color theme="1"/>
        <rFont val="David"/>
      </rPr>
      <t>נכסים = התחייבויות + הון עצמי</t>
    </r>
    <r>
      <rPr>
        <sz val="12"/>
        <color theme="1"/>
        <rFont val="David"/>
      </rPr>
      <t xml:space="preserve">. </t>
    </r>
  </si>
  <si>
    <r>
      <rPr>
        <b/>
        <sz val="12"/>
        <rFont val="David"/>
      </rPr>
      <t>ג.</t>
    </r>
    <r>
      <rPr>
        <sz val="12"/>
        <rFont val="David"/>
      </rPr>
      <t xml:space="preserve"> חובה הוצאות ריבית 3,000</t>
    </r>
  </si>
  <si>
    <t>נעבור לנושא העיקרי (השיעור הכיתתי בפועל החל מכאן) - תיעוד חשבונאי בסיסי (פקודות יומן)</t>
  </si>
  <si>
    <t>מפגש מס׳ 3 - תרגול נוסף של פקודות יומן ותוספת קטנטנה - ריכוז הפקודות ליתרות</t>
  </si>
  <si>
    <t>מבוא לחשבונאות פיננסית - שיעור מס׳ 4</t>
  </si>
  <si>
    <t xml:space="preserve">חברת שקד סיפקה שירותים במסגרת פרויקט מתמשך לאקדמית עמק יזרעאל. </t>
  </si>
  <si>
    <t>להלן נתונים בדבר סכומי התקבול במזומן בכל שנה, לצד שווי השירות ששקד סיפקה בכל אחת מהשנים:</t>
  </si>
  <si>
    <t>שירות</t>
  </si>
  <si>
    <t>לשנה</t>
  </si>
  <si>
    <t>בש״ח</t>
  </si>
  <si>
    <t>תקבול</t>
  </si>
  <si>
    <t>נדרש: הציגו בטבלה את: פקודת היומן של הנה״ח, סך ההכנסה השנתית ברווח והפסד, פקודת התאמה, יתרת חתך.</t>
  </si>
  <si>
    <t>הנה״ח (פקודה)</t>
  </si>
  <si>
    <t>לשם נוחות - ארשום את הערכים באלפי ש״ח:</t>
  </si>
  <si>
    <t>הכנסה (בדוח)</t>
  </si>
  <si>
    <t>אין תשלום
אין רישום</t>
  </si>
  <si>
    <t>שאלה נוספת להיום</t>
  </si>
  <si>
    <t>https://youtu.be/WBmwt2wrMco</t>
  </si>
  <si>
    <t>סרטון לתרגול נוסף</t>
  </si>
  <si>
    <t>ח׳ מזומן</t>
  </si>
  <si>
    <t>ז׳ הכנסה</t>
  </si>
  <si>
    <t>ח׳ הכנסות לקבל 150,000</t>
  </si>
  <si>
    <t>ז׳ הכנסה 150,000</t>
  </si>
  <si>
    <t>ח׳ הכנסה 300,000</t>
  </si>
  <si>
    <t>ז׳ הכנסות לקבל 150,000</t>
  </si>
  <si>
    <t>ז׳ הכנסות מראש 150,000</t>
  </si>
  <si>
    <t>ח׳ הכנסות מראש 100,000</t>
  </si>
  <si>
    <t>ז׳ הכנסות 100,000</t>
  </si>
  <si>
    <t>ח׳ הכנסות מראש 50,000</t>
  </si>
  <si>
    <t>ז׳ הכנסות לקבל 250,000</t>
  </si>
  <si>
    <t>ח׳ הכנסות לקבל 250,000</t>
  </si>
  <si>
    <t>ז׳ הכנסות 300,000</t>
  </si>
  <si>
    <t>ח׳ הכנסות 250,000</t>
  </si>
  <si>
    <t>שאלה נוספת  לבית (מצורף במצב כזה פתרון)</t>
  </si>
  <si>
    <t>מבוא לחשבונאות פיננסית - שיעור מס׳ 5</t>
  </si>
  <si>
    <t xml:space="preserve">הכנסות מראש: </t>
  </si>
  <si>
    <t>הנהלת חשבונות:</t>
  </si>
  <si>
    <t>רישום הכנסה על בסיס מזומן (אסמכתא)</t>
  </si>
  <si>
    <t>דיווח סופי ברווח והפסד:</t>
  </si>
  <si>
    <t>לפי שווי השירות שסופק.</t>
  </si>
  <si>
    <t>פקודת התאמה:</t>
  </si>
  <si>
    <t>פקודה לתיקון / התאמת פקודת הנהלת החשבונות לדיווח הסופי ברווח והפסד.</t>
  </si>
  <si>
    <t>חשבון המייצג התחייבות, הפרש מצטבר חיובי בין סך התקבולים לבין סך השירות שסיפקה החברה</t>
  </si>
  <si>
    <t>הכנסות לקבל:</t>
  </si>
  <si>
    <t>חשבון המייצג נכס, הפרש מצטבר חיובי בין סך השירות שסופק לסך התקבולים מהלקוח</t>
  </si>
  <si>
    <t>אז מה בתפריט היום?</t>
  </si>
  <si>
    <t>א. השלמת הסיטואציה מצד צריכת השירותים, ובפרט:</t>
  </si>
  <si>
    <t>הוצאות מראש:</t>
  </si>
  <si>
    <t>חשבון המייצג נכס, הפרש מצטבר חיובי בין סך התשלומים לבין סך שווי השירות שנצרך</t>
  </si>
  <si>
    <t>הוצאות לשלם:</t>
  </si>
  <si>
    <t>חשבון המייצג התחייבות, הפרש מצטבר חיובי בין סך השירות שנצרך לבין סך התשלומים</t>
  </si>
  <si>
    <t>ב. פתרון במגוון טכניקות של שאלות חתך מורכבות יותר בכל ההקשרים הרלוונטיים.</t>
  </si>
  <si>
    <t>חברת ״בולגיטו״ צרכה שירותי ייעוץ בתחום הנקניק. להלן נתונים בדבר שווי השירות שנצרך, לצד התשלומים שבוצעו בכל</t>
  </si>
  <si>
    <t>שירות שנצרך</t>
  </si>
  <si>
    <t>ע״י בולגיטו</t>
  </si>
  <si>
    <t>הוצאה</t>
  </si>
  <si>
    <t>חברת ״חוניטו״ עוסקת בייעוץ להטמעת מערכות חימום נקניק בעסקים. להלן נתונים בדבר שווי שירותי ייעוץ</t>
  </si>
  <si>
    <t>שצרכה החברה, לצד סכומי התשלומים שבוצעו במזומן לספק בכל אחת מהשנים:</t>
  </si>
  <si>
    <t>ע״י חוניטו</t>
  </si>
  <si>
    <t>ע״י חוניטו לספק</t>
  </si>
  <si>
    <t>פקודה להוצאה</t>
  </si>
  <si>
    <t>להלן מספר אירועים שקשורים להכנסות ולהוצאות חברת ״נקניקים במים״ העוסקת בתחזוקת בריכות שחייה, בשנת</t>
  </si>
  <si>
    <t>א. ב-1 בינואר 2022 חתמה החברה על הסכם לצריכת שירותים בסכום כולל של 600,000 ש״ח וזאת במשך 3 שנים</t>
  </si>
  <si>
    <t>החל ממועד החתימה על ההסכם. תמורת ההסכם הכוללת שולמה במועד החתימה, בסכום של 600,000 ש״ח במזומן</t>
  </si>
  <si>
    <t>באופן מיידי.</t>
  </si>
  <si>
    <t xml:space="preserve">הדיווח 2022. בגין כל אירוע, יש לרשום פקודת הנהלת חשבונות, לרשום פקודת חתך, להציג את הערך שידווח </t>
  </si>
  <si>
    <t>התייחסות:</t>
  </si>
  <si>
    <t xml:space="preserve">ב. החברה משלמת שכר לעובדים ב-10 לכל חודש עוקב למועד ביצוע העבודה. שכר חודש דצמבר 2022 צפוי </t>
  </si>
  <si>
    <r>
      <t xml:space="preserve">ברווח והפסד וכן להציג את יתרת הסגירה של חשבון החתך הרלוונטי </t>
    </r>
    <r>
      <rPr>
        <b/>
        <sz val="12"/>
        <color theme="1"/>
        <rFont val="David"/>
      </rPr>
      <t>והכל עבור שנת 2022 בלבד</t>
    </r>
    <r>
      <rPr>
        <sz val="12"/>
        <color theme="1"/>
        <rFont val="David"/>
      </rPr>
      <t>.</t>
    </r>
  </si>
  <si>
    <t xml:space="preserve">להיות משולם על ידי החברה ב-10 בינואר 2023, בסכום של 90,000 ש״ח. הנהלת החשבונות טרם ביצעה רישום כלשהו </t>
  </si>
  <si>
    <t>של הוצאות השכר עבור חודש דצמבר 2022 אך כן ביצעה רישום תשלומי שכר במזומן בסכום כולל של 700,000 ש״ח</t>
  </si>
  <si>
    <t xml:space="preserve">עבור חודשי השנה ינואר-נובמבר 2022. </t>
  </si>
  <si>
    <t>התמורה התקבלה במלואה במועד החתימה, ועד לתום שנת הדיווח 2022 השלימה החברה 90% מהפרויקט.</t>
  </si>
  <si>
    <t>ד. החברה שילמה לספק שירותי חימום נקניק סכום של 120,000 ש״ח עבור שירותים לטווח התאריכים שבין</t>
  </si>
  <si>
    <t xml:space="preserve">ה-1.1.2020 עד 31.12.2023. התשלום בוצע ב-1.1.2020 (הדרכה: חשבו מהי יתרת החתך ליום 31.12.2021. </t>
  </si>
  <si>
    <t xml:space="preserve">בהתאם חשבו כיצד להמשיך כדי לתעד עבור שנת 2022). </t>
  </si>
  <si>
    <t>אחת מהשנים בהתאם לסיכום עם הספק:</t>
  </si>
  <si>
    <t>שאלה 3 - התייחסות לחתך כשהנתונים הם בצורה של אירועים / מילוליים</t>
  </si>
  <si>
    <t>בשלב ראשון (לא חובה), אפשר להמיר את הנתון המילולי לטבלת נתונים כמקובל אצלנו:</t>
  </si>
  <si>
    <t>ע״י ״נקניקים״</t>
  </si>
  <si>
    <t>ע״י ״נקניקים״ לספק</t>
  </si>
  <si>
    <t>ח׳ הוצאות 600
ז׳ מזומן 600</t>
  </si>
  <si>
    <t>התייחסות - 2022 (השנה הנדרשת בשאלה) - לשם נוחות, הערכים באלפי ש״ח:</t>
  </si>
  <si>
    <t>ח׳ הוצאות מראש 400
ז׳ הוצאות 400</t>
  </si>
  <si>
    <t>הצעה: להמיר את הנתונים המילוליים המסורבלים לטבלה המוכרת:</t>
  </si>
  <si>
    <t>הסכום ששולם במזומן בסך 700 אלפי ש״ח - נתון בשאלה. יחד עם זאת, השירות שנצרך בפועל כולל את שירותי העבודה</t>
  </si>
  <si>
    <t>עד וכולל דצמבר. הואיל ושכר דצמבר לא שולם, הוא איננו כלול ב-700 הנתונים, כך שסך שווי השירות שנצרך יכלול</t>
  </si>
  <si>
    <t>את שכר ינואר-נובמבר (700) בתוספת שווי השכר של דצמבר (90) ובסך הכל 790.</t>
  </si>
  <si>
    <t>ח׳ הוצאות 700
ז׳ מזומן 700</t>
  </si>
  <si>
    <t>סכום המזומן</t>
  </si>
  <si>
    <t>סך שווי השירות</t>
  </si>
  <si>
    <t xml:space="preserve">90% * 800,000 = </t>
  </si>
  <si>
    <t>טיפ: כאשר מעניקים לנו נתוני שווי כולל של חוזה, ומספקים מידע בדבר השלמת אחוז מסויים מהחוזה בתקופת</t>
  </si>
  <si>
    <t>הדיווח, אזי נסיק ששווי השירות שסופק באותה שנה - הוא המכפלה הפשוטה של אחוז השירות בסך שווי החוזה.</t>
  </si>
  <si>
    <t>ח׳ מזומן 800
ז׳ הכנסה 800</t>
  </si>
  <si>
    <t>הכנסות מראש (התחייבות) 80</t>
  </si>
  <si>
    <t>ח׳ הוצאה 120
ז׳ מזומן 120</t>
  </si>
  <si>
    <t>הוצאות מראש (נכס) 30</t>
  </si>
  <si>
    <t>כאשר מדובר בהסכם לתקופה של 3 שנים, ברירת המחדל היא להניח שהשירות מתפלג באופן אחיד על פני 3 השנים</t>
  </si>
  <si>
    <t xml:space="preserve">כלומר: שווי השירות לשנה כאן יהיה 200,000 = 3 / 600,000. </t>
  </si>
  <si>
    <t>90% * 800,000 = 720,000</t>
  </si>
  <si>
    <t>אירוע 1: תחילה נתרגם אותו לטבלה המקובלת:</t>
  </si>
  <si>
    <t>ח׳ הוצאות 45
ז׳ מזומן 45</t>
  </si>
  <si>
    <t>הוצאות מראש (נכס) 33.75</t>
  </si>
  <si>
    <t>ח׳ הוצאות מראש 37.5
ז׳ הוצאות 33.75</t>
  </si>
  <si>
    <t>שימו לב, השירות החל ב-1.4.2010. לכן, למרות שהעלות השנתית</t>
  </si>
  <si>
    <t xml:space="preserve">היא 15,000 לפי 45,000/3, הרי שיש לכפול ערך זה ב-9/12 </t>
  </si>
  <si>
    <t>כדי להגיע לעלות הצריכה הספציפית ב-2010: 11,250 = 9/12 * 15,000</t>
  </si>
  <si>
    <t>אירוע 2: תחילה נתרגם לטבלה המקובלת</t>
  </si>
  <si>
    <t>ח׳ הוצאות 10
ז׳ מזומן 10</t>
  </si>
  <si>
    <t>הוצאות מראש (נכס) 5</t>
  </si>
  <si>
    <t>ח׳ הוצאות מראש 5
ז׳ הוצאות 5</t>
  </si>
  <si>
    <t xml:space="preserve">טיפ: לפני שניגשים לתרגיל זה יש לפתור את שאלה 3 מהרצאה 5 במלואה שבנויה בצורה דומה מאד מבחינת </t>
  </si>
  <si>
    <t>ניסוח הסעיפים. להלן יוצג לבקשתכם פתרון מפורט לחלק מהסעיפים בצורת ההצגה הכיתתית.</t>
  </si>
  <si>
    <t>לגבי הוצאות הלח״מ ב-2021, התהליך הוא כזה:</t>
  </si>
  <si>
    <t>יצאנו ב-31.12.2020 מיתרת הלח״מ של 8,000.</t>
  </si>
  <si>
    <t>במהלך 2021, רשמנו חוב אבוד שהקטין את יתרת ההלח״מ ב-2,000.</t>
  </si>
  <si>
    <t>כך הגענו ליתרת הלח״מ של 6,000.</t>
  </si>
  <si>
    <t xml:space="preserve">הוצאות ההלח״מ שתרשמנה - צריכות להשלים סכום זה </t>
  </si>
  <si>
    <t>ליתרת הסגירה של ההלח״מ 71,700.</t>
  </si>
  <si>
    <t xml:space="preserve">71,700 - 6,000 = </t>
  </si>
  <si>
    <t>הסברים נוספים:</t>
  </si>
  <si>
    <t>הסבר: העלות במזומן 10,000, מחצית על 2010 זה אומר ששווי השירות ב-2010 הוא 5,000.</t>
  </si>
  <si>
    <t xml:space="preserve">לכן ההוצאה ברווח והפסד ב-2010 היא 5,000. </t>
  </si>
  <si>
    <t>כמובן שהואיל ושילמנו מראש, יווצר נכס הוצאות מראש בסך 5,000 לתום שנה.</t>
  </si>
  <si>
    <t>א מכירות</t>
  </si>
  <si>
    <t>ב גבייה</t>
  </si>
  <si>
    <t>ד מכירות</t>
  </si>
  <si>
    <t>ה גבייה</t>
  </si>
  <si>
    <t>ו חוב אבוד</t>
  </si>
  <si>
    <t>שאלה נוספת:</t>
  </si>
  <si>
    <t>פתרון השאלה הנוספת:</t>
  </si>
  <si>
    <t>אירוע 1</t>
  </si>
  <si>
    <t>הרחבה זו רלוונטית לתרגיל ״נתחשבן בהמשך״ מחוברת הקורס שנפתרה בתרגול עם חן / גל - פתרון
חלק מהאירועים בגישה שהצגנו</t>
  </si>
  <si>
    <t>ח׳ מזומן 100,000</t>
  </si>
  <si>
    <t>ז׳ הכנסה 100,000</t>
  </si>
  <si>
    <t>ז׳ הכנסות מראש 40,000</t>
  </si>
  <si>
    <t>ח׳ הכנסה 40,000</t>
  </si>
  <si>
    <t>הכנסות מראש (התחייבות) 40,000</t>
  </si>
  <si>
    <t>ח׳ מזומן 24,000</t>
  </si>
  <si>
    <t>ז׳ הכנסה 24,000</t>
  </si>
  <si>
    <t>ז׳ הכנסה 20,000</t>
  </si>
  <si>
    <t>ח׳ הכנסות מראש 20,000</t>
  </si>
  <si>
    <t>הכנסות מראש (התחייבות) 20,000</t>
  </si>
  <si>
    <t>הסבר:</t>
  </si>
  <si>
    <t>פקודת הנהלת החשבונות היא מאד פשוטה. ב-2012 מקבלים 100,000 לפי 1,000 שעות כפול 100 ש״ח לשעה,</t>
  </si>
  <si>
    <t>וב-2013 מקבלים 24,000 ש״ח בסך הכל.</t>
  </si>
  <si>
    <t>ההכנסה ברווח והפסד קצת יותר מתוחכמת:</t>
  </si>
  <si>
    <t>ב-2012, ההכנסה לפי שווי השירות מתאימה ל-600 שעות שסופקו כפול שווי של 100 ש״ח לשעה ובסך</t>
  </si>
  <si>
    <t>הכל 60,000 ש״ח.</t>
  </si>
  <si>
    <t>ב-2013, ההכנסה היא לפי שווי של 400 שעות שסופקו כפול 100 ש״ח לשעה כלומר 40,000 ש״ח, ולכך יש</t>
  </si>
  <si>
    <t>להוסיף שווי שירות לחודשים נובמבר ודצמבר בסך 2,000 לחודש עוד 4,000 ש״ח ובסך הכל 44,000 ש״ח.</t>
  </si>
  <si>
    <t>יתרת ההתחשבנות המצטברת בתום 2012 היא 40,000 לפי ההפרש בין סך המזומן שהתקבל 100,000</t>
  </si>
  <si>
    <t xml:space="preserve">לבין סך ההכנסה המצטברת 60,000. </t>
  </si>
  <si>
    <t>יתרת ההתחשבנות המצטברת בתום 2013 היא 20,000 לפי ההפרש בין סך המזומן שהתקבל 124,000</t>
  </si>
  <si>
    <t>לבין סך ההכנסה ברווח והפסד במצטבר 104,000 ש״ח ולכן הכנסה מראש 20,000.</t>
  </si>
  <si>
    <t>פקודת החתך מקטינה את ההכנסה ב-2012 ומובילה להכרה בהתחייבות בגין הכנסה מראש 40,000.</t>
  </si>
  <si>
    <t>פקודת החתך מקטינה את ההכנסה ב-2013 ומובילה להקטנת ההתחייבות בגין הכנסה מראש בסכום זהה.</t>
  </si>
  <si>
    <t>אירוע 2</t>
  </si>
  <si>
    <t>ז׳ מזומן 70,000</t>
  </si>
  <si>
    <t>ח׳ הוצאה 70,000</t>
  </si>
  <si>
    <t>ח׳ הוצאה 63,000</t>
  </si>
  <si>
    <t>ז׳ מזמן 63,000</t>
  </si>
  <si>
    <t>ח׳ הוצאות מראש 35,000</t>
  </si>
  <si>
    <t>ז׳ הוצאה 35,000</t>
  </si>
  <si>
    <t>הוצאות מראש 35,000 (נכס)</t>
  </si>
  <si>
    <t>ח׳ הוצאות 3,500</t>
  </si>
  <si>
    <t>ז׳ הוצאות מראש 3,500</t>
  </si>
  <si>
    <t>הוצאות מראש 31,500 (נכס)</t>
  </si>
  <si>
    <t>פקודת הנהלת החשבונות מאד פשוטה. ב-2012, לפי סכום הוצאה של 70,000 ששולמו במזומן כנתון,</t>
  </si>
  <si>
    <t>ובשנת 2013, התעריף נמוך ב-10%, לכן שולם 63,000 = (10% - 1) * 70,000.</t>
  </si>
  <si>
    <t>לגבי ההוצאה, כאן זה טריקי יותר.</t>
  </si>
  <si>
    <t>בשנת 2012, החישוב פשוט: ניצלנו מחצית מתקופת ההסכם, העלות לשנה 70,000 ש״ח והשווי לחצי</t>
  </si>
  <si>
    <t>שנה לתקופה 30.6.2012 - 31.12.2012 היא 35,000 ש״ח (חצי שנה מתוך שנה).</t>
  </si>
  <si>
    <t>בשנת 2013, החישוב מורכב יותר, ומדוע?</t>
  </si>
  <si>
    <t>משום שעבור התקופה 1.1.2013-30.6.2013, צרכנו את המחצית הנותרת מההסכם הקודם, כלומר 35,000 ש״ח.</t>
  </si>
  <si>
    <t>עבור התקופה 1.7.2013-31.12.2013, צרכנו מחצית (6 חודשים) מההסכם החדש, כלומר מחצית מ-63,000</t>
  </si>
  <si>
    <t>שהם 31,500.</t>
  </si>
  <si>
    <t>כך שבסך הכל, עבור שנת 2013, ההוצאה הכוללת לפי שווי השירות היא 66,500 = 35,000 + 31,500</t>
  </si>
  <si>
    <t>לדעתי, לאחר ההסבר של ההוצאות, לא צריכה להיות לכם בעיה להשלים את פקודות ההתאמה והחתך.</t>
  </si>
  <si>
    <t>עבדנו על זה מספיק, אבל אם אני טועה, עדכנו אותי בפנייה למרצה.</t>
  </si>
  <si>
    <t>תרגולים לתכני הרצאות 5-6 - מבוא לחשבונאות פיננסית - תרגולים נוספים בנושאי חתך והלח״מ / לקוחות</t>
  </si>
  <si>
    <t>יתרת הלקוחות = לקוחות ברוטו</t>
  </si>
  <si>
    <t>בניכוי יתרת ההלח״מ</t>
  </si>
  <si>
    <t>שווה ל: לקוחות, נטו:</t>
  </si>
  <si>
    <t>פתרון מלא - שאלה 26 - חברת ״מרגין״ - לקוחות והלח״מ</t>
  </si>
  <si>
    <t>מכירות 2012</t>
  </si>
  <si>
    <t>יתרת פתיחה</t>
  </si>
  <si>
    <t xml:space="preserve">  (*)5</t>
  </si>
  <si>
    <r>
      <t xml:space="preserve">יתרת הלקוחות (ברוטו) ליום 31/12/2012 </t>
    </r>
    <r>
      <rPr>
        <b/>
        <sz val="12"/>
        <color theme="1"/>
        <rFont val="David"/>
      </rPr>
      <t>שגויה</t>
    </r>
    <r>
      <rPr>
        <sz val="12"/>
        <color theme="1"/>
        <rFont val="David"/>
      </rPr>
      <t xml:space="preserve">. </t>
    </r>
  </si>
  <si>
    <t>נתון ששתי עסקאות שמשפיעות על הלקוחות לא נרשמו:</t>
  </si>
  <si>
    <t xml:space="preserve">חוב אבוד (נתון 2) בסך 100,000 שלא קיבל ביטוי &gt;&gt;&gt; קיטון בלקוחות ברוטו וגם בהלח״מ. </t>
  </si>
  <si>
    <t>מכירה באשראי בסיף 200,000 שלא קיבלה ביטוי &gt;&gt;&gt; גידול בלקוחות ברוטו.</t>
  </si>
  <si>
    <t>לקוחות ברוטו לפני תיקונים:</t>
  </si>
  <si>
    <t>הפחת: חוב אבוד</t>
  </si>
  <si>
    <t>הוסף: מכירה באשראי</t>
  </si>
  <si>
    <t>לקוחות ברוטו מעודכן 31/12</t>
  </si>
  <si>
    <t>PN</t>
  </si>
  <si>
    <t>סיכום:</t>
  </si>
  <si>
    <t>כאשר אני מקבל שאלה, שבה כבר נתנו לי (כנתון) את יתרת הלקוחות ברוטו לתום השנה,</t>
  </si>
  <si>
    <t>אני לא מחשב אותה בעצמי (כמו בתרגילים מהכיתה) אלא לוקח אותה ״כמו שהיא״ ורק</t>
  </si>
  <si>
    <t xml:space="preserve">מוסיף או מחסיר ממנה תיקונים בגין עסקאות שלא נרשמו. </t>
  </si>
  <si>
    <t>לאחר שיתרת הסגירה המתוקנת בידי, אשבץ את החוב האבוד בתנועות ואמשיך כרגיל:</t>
  </si>
  <si>
    <t xml:space="preserve">חישוב יתרת סגירה הלח״מ וחילוץ הוצאות הלח״מ. </t>
  </si>
  <si>
    <t xml:space="preserve">כשרוצים לדעת מהי יתרת ״כרטיס הלקוחות״ מתכוונים ללקוחות ברוטו. </t>
  </si>
  <si>
    <t>לכן, תשובתנו לנדרש 1 היא 2,100,000 ש״ח.</t>
  </si>
  <si>
    <t>נדרש 1:</t>
  </si>
  <si>
    <t>נדרש 2:</t>
  </si>
  <si>
    <t>ההוצאה לחובות מסופקים (הוצאות הלח״מ): 85,000.</t>
  </si>
  <si>
    <t>נדרש 3:</t>
  </si>
  <si>
    <t xml:space="preserve">יתרת סגירה הלח״מ: 105,000. </t>
  </si>
  <si>
    <t>נדרש 4:</t>
  </si>
  <si>
    <t>תמיד כשדורשים את סעיף הלקוחות בדיווח הכספי, הכוונה היא ללקוחות ״נטו״ כלומר</t>
  </si>
  <si>
    <t>לקוחות ברוטו</t>
  </si>
  <si>
    <t>ליתרה ברוטו בניכוי יתרת ההלח״מ:</t>
  </si>
  <si>
    <t>בניכוי יתרת הלח״מ</t>
  </si>
  <si>
    <t>לקוחות, נטו = לדיווח</t>
  </si>
  <si>
    <t>תשובה סופית לנדרש 4</t>
  </si>
  <si>
    <t>בהחלט אפשרי גם לבצע חילוץ לאחור של התנועות; אלא שחילוץ זה עשוי לעורר מורכבות</t>
  </si>
  <si>
    <t>מסוימת בתהליך החישובי. ולכן, כל עוד ההתמקדות היא בלקוחות נטו ובהוצאות ההלח״מ,</t>
  </si>
  <si>
    <t>אפשר בהחלט להימנע מהחילוץ המלא, ורק לתקן את הלקוחות, להתייחס לאבוד, ולחלץ.</t>
  </si>
  <si>
    <t xml:space="preserve">2,000,000 - 100,000 + 200,000 = </t>
  </si>
  <si>
    <t>שאלה 23 - הכסף האבוד (קלה יותר)</t>
  </si>
  <si>
    <t xml:space="preserve">כאשר בשאלה נותנים לי כנתון את יתרת הלקוחות לתום השנה, אני לא מחשב אותה בעצמי, </t>
  </si>
  <si>
    <t xml:space="preserve">אלא רק מתקן אותה בגין עסקאות שלא נרשמו. </t>
  </si>
  <si>
    <t>על פי נתון 5 - יתרת הלקוחות:</t>
  </si>
  <si>
    <t>תיקון נתון 2 - חוב אבוד שיש לרשום:</t>
  </si>
  <si>
    <t>תיקון נתון 3 - מכירה נוספת באשראי:</t>
  </si>
  <si>
    <t>יתרת לקוחות ברוטו עדכנית סופית:</t>
  </si>
  <si>
    <t>לקוחות, נטו</t>
  </si>
  <si>
    <t>לא קריטי לרשום</t>
  </si>
  <si>
    <t>לעלות זו נדרשה החברה להוסיף התקן חובה לחימום נקניק בחיבור USB Type C בעלות 200 ש״ח.</t>
  </si>
  <si>
    <r>
      <t xml:space="preserve">עודפים </t>
    </r>
    <r>
      <rPr>
        <b/>
        <sz val="12"/>
        <color rgb="FFFF0000"/>
        <rFont val="David"/>
      </rPr>
      <t>1.1</t>
    </r>
  </si>
  <si>
    <t>מכונות - 
עלות</t>
  </si>
  <si>
    <r>
      <t xml:space="preserve">הנחות 
</t>
    </r>
    <r>
      <rPr>
        <b/>
        <sz val="12"/>
        <rFont val="David"/>
      </rPr>
      <t>מסחריות</t>
    </r>
    <r>
      <rPr>
        <sz val="12"/>
        <rFont val="David"/>
      </rPr>
      <t xml:space="preserve">
ללקוח</t>
    </r>
  </si>
  <si>
    <t>מלאי 
31.12
מאזן</t>
  </si>
  <si>
    <t>מלאי
31.12
רוו״ה</t>
  </si>
  <si>
    <t>אין גרט
פחת 10 שנים
זמינות: 31.3.2019</t>
  </si>
  <si>
    <r>
      <t xml:space="preserve">מכונות - 
פחת נצבר 
</t>
    </r>
    <r>
      <rPr>
        <b/>
        <sz val="12"/>
        <color rgb="FFFF0000"/>
        <rFont val="David"/>
      </rPr>
      <t>1.1</t>
    </r>
    <r>
      <rPr>
        <sz val="12"/>
        <color theme="1"/>
        <rFont val="David"/>
      </rPr>
      <t>.20</t>
    </r>
  </si>
  <si>
    <t>בטבלת היתרות:</t>
  </si>
  <si>
    <t>פחת נצבר 1.1.2020</t>
  </si>
  <si>
    <t>הוסף: עלייה השנה 2020</t>
  </si>
  <si>
    <t>פחת נצבר 31.12.2020</t>
  </si>
  <si>
    <t>הוצאות פחת - חדששששש</t>
  </si>
  <si>
    <t>פתרון שאלת מסה מהאתר - ״הנסיכה התימנית״</t>
  </si>
  <si>
    <t>נייר עבודה בסיסי לפני סיווגים:</t>
  </si>
  <si>
    <t>הוצאות תקשורת</t>
  </si>
  <si>
    <t>הוצאות תקשורת מראש ליום 1.1.2021</t>
  </si>
  <si>
    <t>פקדון בנקאי ל-5 שנים</t>
  </si>
  <si>
    <t>עמלה לסוכני מכירות</t>
  </si>
  <si>
    <t>הוצאות תפעוליות כלליות</t>
  </si>
  <si>
    <t>סיווגים והשלמת נתונים חסרים לפני תיקונים ועדכונים:</t>
  </si>
  <si>
    <t>טבלה מעודכנת כבסיס לעריכת הדיווח:</t>
  </si>
  <si>
    <t>שיחזור ערכים חסרים (?) לפני תיקונים ועדכונים - ללא פקודות יומן נוספות!</t>
  </si>
  <si>
    <t>פחת נצבר 1.1.2021</t>
  </si>
  <si>
    <t>עודפים 1.1.2021</t>
  </si>
  <si>
    <t>יחולצו רק בסוף התהליך</t>
  </si>
  <si>
    <t>חילוץ לפי נתוני מלל השאלה</t>
  </si>
  <si>
    <t>פחת נצבר מחשבים 1.1.2021</t>
  </si>
  <si>
    <t>מועד תחילת ההפחתה (זמינות לשימוש)</t>
  </si>
  <si>
    <t>תקופת הפחתה בשנים (קו ישר)</t>
  </si>
  <si>
    <t>ערך שייר / גרט:</t>
  </si>
  <si>
    <r>
      <t xml:space="preserve">דגש: כל המטרה היא לחשב את יתרת הפחת הנצבר ליום 1.1.2021, </t>
    </r>
    <r>
      <rPr>
        <b/>
        <sz val="12"/>
        <color theme="1"/>
        <rFont val="David"/>
      </rPr>
      <t>ולא</t>
    </r>
    <r>
      <rPr>
        <sz val="12"/>
        <color theme="1"/>
        <rFont val="David"/>
      </rPr>
      <t xml:space="preserve"> לעדכן את הפחת הנצבר לתום השנה. </t>
    </r>
  </si>
  <si>
    <t>כלומר, בשלב זה לא נעניק ביטוי לאירועים שטרם נרשמו, כגון הוצאות פחת של השנה ומכירה שלא נרשמה.</t>
  </si>
  <si>
    <t>בנתוני השאלה, עלות המחשבים:</t>
  </si>
  <si>
    <t xml:space="preserve">[(600 - 0) / 8] * (3 + 6/12) =  </t>
  </si>
  <si>
    <r>
      <t>מדוע לא רשמנו פחת השנה ולא התייחסנו למכירה? משום שאלו אירועים ש</t>
    </r>
    <r>
      <rPr>
        <b/>
        <sz val="12"/>
        <color theme="1"/>
        <rFont val="David"/>
      </rPr>
      <t>טרם נרשמו</t>
    </r>
    <r>
      <rPr>
        <sz val="12"/>
        <color theme="1"/>
        <rFont val="David"/>
      </rPr>
      <t xml:space="preserve"> ועבורם מבצעים </t>
    </r>
    <r>
      <rPr>
        <b/>
        <sz val="12"/>
        <color theme="1"/>
        <rFont val="David"/>
      </rPr>
      <t>עדכון</t>
    </r>
  </si>
  <si>
    <t xml:space="preserve">בדרך של פקודות יומן, בהמשך. </t>
  </si>
  <si>
    <t>פחת נצבר מחשבים 1.1.2021:</t>
  </si>
  <si>
    <t>שחזור פחת נצבר מחשבים 1.1.2021</t>
  </si>
  <si>
    <t>שיחזור מלאי סגירה 31.12.2021</t>
  </si>
  <si>
    <t>תזכורת: ערכו של מלאי הסגירה בדוחות הכספיים נקבע לפי הנמוך מבין שני ערכים:</t>
  </si>
  <si>
    <t xml:space="preserve">א. עלות. </t>
  </si>
  <si>
    <t xml:space="preserve">10,000 * 7 = </t>
  </si>
  <si>
    <r>
      <rPr>
        <b/>
        <sz val="12"/>
        <color theme="1"/>
        <rFont val="David"/>
      </rPr>
      <t>אלפי</t>
    </r>
    <r>
      <rPr>
        <sz val="12"/>
        <color theme="1"/>
        <rFont val="David"/>
      </rPr>
      <t xml:space="preserve"> ש״ח</t>
    </r>
  </si>
  <si>
    <t>הערך שיוצג - הנמוך יותר - מלאי הסגירה ליום 31.12.2021:</t>
  </si>
  <si>
    <t>90 + ?</t>
  </si>
  <si>
    <t>שיחזור עודפים 1.1.2021</t>
  </si>
  <si>
    <t>אני אגש לשיחזור יתרת הפתיחה 1.1 של העודפים. גם אם יש אירועים בשאלה שלא נרשמו כלל או מספרים לנו מפורשות על טעויות</t>
  </si>
  <si>
    <t xml:space="preserve">ברישומים, בשלב שיחזור ראשוני זה אין צורך בהם. </t>
  </si>
  <si>
    <t>המשוואה מתוכה אחלץ את העודפים ל-1.1 (?) היא:</t>
  </si>
  <si>
    <t>נכסים = התחייבויות + הון + הכנסות - הוצאות</t>
  </si>
  <si>
    <t xml:space="preserve">? = </t>
  </si>
  <si>
    <r>
      <t xml:space="preserve">רק לאחר ששיחזרתי את כל יתר הערכים, וסיכמתי את הנכסים, ההתחייבויות, ההון, ההכנסות וההוצאות </t>
    </r>
    <r>
      <rPr>
        <b/>
        <sz val="12"/>
        <color rgb="FF00B0F0"/>
        <rFont val="David"/>
      </rPr>
      <t>לפני תיקונים</t>
    </r>
    <r>
      <rPr>
        <sz val="12"/>
        <color theme="1"/>
        <rFont val="David"/>
      </rPr>
      <t>,</t>
    </r>
  </si>
  <si>
    <t>השלב ה״קשוח״ - עדכונים על בסיס הנתונים הנוספים:</t>
  </si>
  <si>
    <t>בשלב זה, עלינו לעבור על כל הנתונים הנוספים ללא יוצא מן הכלל, ולדאוג לעדכן ו/או לתקן את כלל הרישומים הרלוונטיים.</t>
  </si>
  <si>
    <r>
      <t xml:space="preserve">כל תיקון / עדכון </t>
    </r>
    <r>
      <rPr>
        <b/>
        <sz val="12"/>
        <color theme="1"/>
        <rFont val="David"/>
      </rPr>
      <t>ילווה בפקודת יומן רלוונטית</t>
    </r>
    <r>
      <rPr>
        <sz val="12"/>
        <color theme="1"/>
        <rFont val="David"/>
      </rPr>
      <t>. וזאת, בשוני מובהק משלב השיחזורים שבו חישבנו מתמטית ״מה היה רשום״</t>
    </r>
  </si>
  <si>
    <t>ולא רשמנו תיקונים / עדכונים בעצמנו.</t>
  </si>
  <si>
    <t>נתון 1 - הוצאות תקשורת - עדכון מלא</t>
  </si>
  <si>
    <t>נתונים רלוונטיים בטבלה:</t>
  </si>
  <si>
    <r>
      <t xml:space="preserve">הוצאות תקשורת מראש </t>
    </r>
    <r>
      <rPr>
        <b/>
        <sz val="12"/>
        <color theme="1"/>
        <rFont val="David"/>
      </rPr>
      <t>1.1.2021</t>
    </r>
  </si>
  <si>
    <t>הוצאות מראש = נכס; נכס שמשמעותו היא זכאות לקבל שירותים בעתיד, בעד תשלומים שכבר שילמנו:</t>
  </si>
  <si>
    <t>במלים פשוטות: שילמנו וטרם קיבלנו שירות = חייבים לנו = נכס שלנו.</t>
  </si>
  <si>
    <t>כאשר נצרכים השירותים בעדם שילמנו - עלינו:</t>
  </si>
  <si>
    <t>א. להכיר בהוצאה (צריכת שירותים = הוצאה).</t>
  </si>
  <si>
    <t>ב. לגרוע (לאפס, לממש) את נכס ההוצאות מראש.</t>
  </si>
  <si>
    <t>הרחבה - במושגים שנלמדו בעבר:</t>
  </si>
  <si>
    <t>מנה״ח</t>
  </si>
  <si>
    <t>ההוצאה</t>
  </si>
  <si>
    <t>ח׳ הוצ׳ תקשורת 80</t>
  </si>
  <si>
    <t>ז׳ מזומן 80</t>
  </si>
  <si>
    <t>ח׳ הוצאות תקשורת 30</t>
  </si>
  <si>
    <t>ז׳ הוצאות מראש 30</t>
  </si>
  <si>
    <t>פקודת החתך - עדכון / תיקון</t>
  </si>
  <si>
    <t>בהעתקה של ערך סופי לאחר עדכון לטבלה למעלה:</t>
  </si>
  <si>
    <t xml:space="preserve">הוצאות מראש - שהיו 30 ל-1.1.2021, יאופסו (ל-0) ל-31.12.2021. </t>
  </si>
  <si>
    <t xml:space="preserve">הוצאות תקשורת - שהיו 80 לפני תיקונים, יוגדלו ל-110 (הוגדלו ב-30). </t>
  </si>
  <si>
    <r>
      <t xml:space="preserve">הוצאות תקשורת מראש ליום </t>
    </r>
    <r>
      <rPr>
        <b/>
        <sz val="12"/>
        <color rgb="FFFF0000"/>
        <rFont val="David"/>
      </rPr>
      <t>31.12.2021</t>
    </r>
  </si>
  <si>
    <t>נתון 2 - טלפונים סלולריים</t>
  </si>
  <si>
    <t>הואיל והטלפונים נרכשו השנה (2021), לא מפתיע שאין נתונים לגבי יתרת הפחת הנצבר לתחילת השנה.</t>
  </si>
  <si>
    <t>עלות הטלפונים - מהטבלה:</t>
  </si>
  <si>
    <t>זמינות לשימוש החל מ:</t>
  </si>
  <si>
    <t>1.11.2021</t>
  </si>
  <si>
    <t>אורך חיים שימושיים - קו ישר:</t>
  </si>
  <si>
    <t xml:space="preserve">[(100 - 10% * 100) / 10] * (2/12) =  </t>
  </si>
  <si>
    <t>הוצאות פחת 2021</t>
  </si>
  <si>
    <t>פקודת היומן הרלוונטית לרישום הוצאות פחת תמיד תהיה:</t>
  </si>
  <si>
    <t>ח׳ הוצאות פחת</t>
  </si>
  <si>
    <t>ז׳ פחת נצבר (טלפונים סלולריים)</t>
  </si>
  <si>
    <t>חשבון חדש!!! לא הופיע בטבלה המקורית, פותחים שורה חדשה.</t>
  </si>
  <si>
    <t>חדש!!! פחת נצבר טלפונים סלולריים</t>
  </si>
  <si>
    <t>נתון 3 - מחשבים</t>
  </si>
  <si>
    <t>העתקת נתוני הטבלה - מחשבים:</t>
  </si>
  <si>
    <t>נתון</t>
  </si>
  <si>
    <t>חישבנו במסגרת השיחזורים</t>
  </si>
  <si>
    <t>ערך גרט</t>
  </si>
  <si>
    <t>אורך חיים בשנים - קו ישר:</t>
  </si>
  <si>
    <t xml:space="preserve">באופן כללי - בגין כל פריט רכוש קבוע - נדאג לעדכן את הוצאות הפחת בגין השנה השוטפת. </t>
  </si>
  <si>
    <t>מעבר לכך, ספציפית באירוע זה, שבו דנים גם במכירה - נטפל גם בה.</t>
  </si>
  <si>
    <t>הפריט שהה בחברה שנה שלמה (כל 2021):</t>
  </si>
  <si>
    <t xml:space="preserve">ח׳ הוצאות פחת </t>
  </si>
  <si>
    <t>ז׳ פחת נצבר מחשבים</t>
  </si>
  <si>
    <t>כעת, נטפל במכירה:</t>
  </si>
  <si>
    <t xml:space="preserve">על פי נתוני השאלה, הפריט נמכר ב-31.12.2021, והתמורה במכירה הובילה לרווח הון של 10,000. </t>
  </si>
  <si>
    <t>בכל מכירה, מחשבים תחילה את העלות המופחתת (עלות בניכוי פחת נצבר) ערב המכירה:</t>
  </si>
  <si>
    <t>פחת שהתווסף (הוצאות פחת) 2021</t>
  </si>
  <si>
    <t>מס׳ השנים עד המכירה</t>
  </si>
  <si>
    <t>1.7.17-31.12.21</t>
  </si>
  <si>
    <r>
      <t xml:space="preserve">262.5 + 75 = </t>
    </r>
    <r>
      <rPr>
        <sz val="12"/>
        <color rgb="FFFF0000"/>
        <rFont val="David"/>
      </rPr>
      <t>75 * 4.5</t>
    </r>
    <r>
      <rPr>
        <sz val="12"/>
        <color theme="1"/>
        <rFont val="David"/>
      </rPr>
      <t xml:space="preserve"> = </t>
    </r>
  </si>
  <si>
    <t>עלות מופחתת</t>
  </si>
  <si>
    <t>ההגדרה של רווח הון היא: תמורת המכירה בניכוי העלות המופחתת:</t>
  </si>
  <si>
    <t>רווח הון - נתון</t>
  </si>
  <si>
    <t>אם הרווחנו 10 על פריט שאמור להיות שווה 262.5 כנראה מכרתיו ב-272.5</t>
  </si>
  <si>
    <t>א. איפוס העלות (זכות)</t>
  </si>
  <si>
    <t>ב. איפוס פחת נצבר (חובה)</t>
  </si>
  <si>
    <t>ג. להכיר בתמורה במזומן (חובה)</t>
  </si>
  <si>
    <t>ד. להכיר ברווח / הפסד הון (רווח הון - זכות)</t>
  </si>
  <si>
    <t>פקודת יומן מעדכנת - מכירה של רכוש קבוע:</t>
  </si>
  <si>
    <t>עדכונים - מה ישתנה בטבלת הנתונים:</t>
  </si>
  <si>
    <t>הוצאות הפחת - להגדיל ב-</t>
  </si>
  <si>
    <t>פחת נצבר מחשבים - לאפס</t>
  </si>
  <si>
    <t>עלות מחשבים - לאפס</t>
  </si>
  <si>
    <t>מזומן - להגדיל ב-</t>
  </si>
  <si>
    <t>ליצור חשבון חדש!!! רווח הון!!!</t>
  </si>
  <si>
    <t>חדש!!! הוצאות פחת (מחשבים + טלפונים)</t>
  </si>
  <si>
    <t>מחשבים - פחת נצבר 31.12.2021</t>
  </si>
  <si>
    <t>חדש!!! רווח הון ממכירת מחשבים</t>
  </si>
  <si>
    <t>נתון 4 - צבירת ריבית</t>
  </si>
  <si>
    <t>כמובן שבחשבונאות עלינו לתת ביטוי לכל אירוע במועד התרחשותו.</t>
  </si>
  <si>
    <t xml:space="preserve">ספציפית, אם נצברה ריבית לזכותנו, גם אם טרם קיבלנו אותה במזומן בפועל - יש להכיר בהכנסה כנגד נכס ריבית לקבל. </t>
  </si>
  <si>
    <t>ח׳ הכנסות ריבית לקבל</t>
  </si>
  <si>
    <t>ז׳ הכנסות ריבית</t>
  </si>
  <si>
    <t>נוסיף שורה חדשה!!!! בטבלה</t>
  </si>
  <si>
    <t>נגדיל את השורה הקיימת של הכנסות ריבית ב-7</t>
  </si>
  <si>
    <t>חדש!! הכנסות ריבית לקבל</t>
  </si>
  <si>
    <t>סה״כ (סיכום עדכני, לא חובה לבצע)</t>
  </si>
  <si>
    <t>וכעת, השלב האחרון בהחלט - עריכת הדיווח הכספי</t>
  </si>
  <si>
    <t>חברת הנסיכה התימנית בע״מ - דוח רווח והפסד לשנה שנסתיימה ב-31/12/2021</t>
  </si>
  <si>
    <t>הוצ׳ מכירה ושיווק</t>
  </si>
  <si>
    <t>הוצ׳ הנהלה וכלליות</t>
  </si>
  <si>
    <r>
      <t xml:space="preserve">מכירות בניכוי החזרות מלקוחות והנחות </t>
    </r>
    <r>
      <rPr>
        <b/>
        <sz val="12"/>
        <color theme="1"/>
        <rFont val="David"/>
      </rPr>
      <t>מסחריות</t>
    </r>
    <r>
      <rPr>
        <sz val="12"/>
        <color theme="1"/>
        <rFont val="David"/>
      </rPr>
      <t xml:space="preserve"> ללקוחות</t>
    </r>
  </si>
  <si>
    <r>
      <t xml:space="preserve">מלאי פתיחה, </t>
    </r>
    <r>
      <rPr>
        <b/>
        <sz val="10"/>
        <color theme="1"/>
        <rFont val="David"/>
      </rPr>
      <t>בתוספת:</t>
    </r>
    <r>
      <rPr>
        <sz val="10"/>
        <color theme="1"/>
        <rFont val="David"/>
      </rPr>
      <t xml:space="preserve"> קניות, הובלה למחסן, </t>
    </r>
    <r>
      <rPr>
        <b/>
        <sz val="10"/>
        <color theme="1"/>
        <rFont val="David"/>
      </rPr>
      <t>בניכוי:</t>
    </r>
    <r>
      <rPr>
        <sz val="10"/>
        <color theme="1"/>
        <rFont val="David"/>
      </rPr>
      <t xml:space="preserve"> החזרות לספקים, הנחות מסחריות מספקים, מלאי סגירה</t>
    </r>
  </si>
  <si>
    <t xml:space="preserve">700 - 300 = </t>
  </si>
  <si>
    <t>עמלה לסוכני מכירות והוצאות משווקים</t>
  </si>
  <si>
    <t>ביאור - הוצאות הנהלה וכלליות:</t>
  </si>
  <si>
    <t>הוצאות שכר הנהלה</t>
  </si>
  <si>
    <t>הוצאות תפעול כלליות</t>
  </si>
  <si>
    <t xml:space="preserve">הוצאות פחת </t>
  </si>
  <si>
    <t xml:space="preserve">400 - 50 - 233.5 + 10 = </t>
  </si>
  <si>
    <t>כאן: הוצאות ריבית בלבד (באופן כללי, כולל גם עמלות בנקים והנחות מזומן ללקוחות)</t>
  </si>
  <si>
    <t>כאן: הכנסות ריבית והנחות מזומן שהתקבלו מספקים</t>
  </si>
  <si>
    <t xml:space="preserve">126.5 - 20 + 107 = </t>
  </si>
  <si>
    <t>כאן: אין מסים</t>
  </si>
  <si>
    <t>חברת ״הנסיכה התימנית״ בע״מ - הדוח על המצב הכספי (מאזן) ליום 31.12.2021</t>
  </si>
  <si>
    <t>מזומן (כולל עו״ש בנק)</t>
  </si>
  <si>
    <t>מלאי (סגירה)</t>
  </si>
  <si>
    <t>הכנסות לקבל/חייבים</t>
  </si>
  <si>
    <t>רכוש קבוע (בניכוי פחנ״צ)</t>
  </si>
  <si>
    <t>השקעה לזמן ארוך (פקדון)</t>
  </si>
  <si>
    <t>סך ההת׳ הלא שוטפות</t>
  </si>
  <si>
    <t>עודפים 31.12 (לא 1.1)</t>
  </si>
  <si>
    <t xml:space="preserve">סך הנכסים חייבים להיות שווים לסך </t>
  </si>
  <si>
    <t>ההתחייבויות וההון לכן העתקתי לסיכום כאן</t>
  </si>
  <si>
    <t>את סך הנכסים</t>
  </si>
  <si>
    <t>70 + 100 + 90 + x = 1,598</t>
  </si>
  <si>
    <t>פקדון בנקאי לשנה</t>
  </si>
  <si>
    <t>הוצאות תקשורת לשלם ליום 1.1.2021</t>
  </si>
  <si>
    <t>פתרון שאלת מסה - חברת ״שרה״</t>
  </si>
  <si>
    <t xml:space="preserve">לאחר שסידרתי את הערכים בטבלה, אפעל לחילוץ סימני השאלה. </t>
  </si>
  <si>
    <t>את סימני השאלה אחלץ בהתאם לתאריך הרשום לצידם: אם למשל הפחת הנצבר הוא ל-1.1.2021 בנתוני השאלה, אחלץ ספציפית</t>
  </si>
  <si>
    <t>אותו (לתחילת השנה) לפי הנתונים הנוספים.</t>
  </si>
  <si>
    <t>חילוץ 1: פחת נצבר מחשבים 1.1.2021</t>
  </si>
  <si>
    <t>היתרה החסרה הראשונה (למעט העודפים, שאותם נחלץ רק בסוף התהליך, תמיד) היא יתרת הפחת הנצבר בגין המחשבים לתחילת</t>
  </si>
  <si>
    <t xml:space="preserve">השנה, ל-1.1.2021. </t>
  </si>
  <si>
    <r>
      <t xml:space="preserve">תזכורת: פחת נצבר ל-1.1.2021 משקף למעשה את כל הוצאות הפחת (במצטבר) שכבר </t>
    </r>
    <r>
      <rPr>
        <b/>
        <sz val="12"/>
        <color theme="1"/>
        <rFont val="David"/>
      </rPr>
      <t>נרשמו</t>
    </r>
    <r>
      <rPr>
        <sz val="12"/>
        <color theme="1"/>
        <rFont val="David"/>
      </rPr>
      <t xml:space="preserve"> בשנים קודמות.</t>
    </r>
  </si>
  <si>
    <t>כרגיל, בשלב החילוצים, אנחנו לא רושמים פקודות יומן, אלא רק מחשבים (מתמטית) את מה שכבר נרשם בעבר - את הפחת</t>
  </si>
  <si>
    <t xml:space="preserve">הנצבר בגין המחשבים עד וכולל 1.1.2021. </t>
  </si>
  <si>
    <t>לפי נתון 2:</t>
  </si>
  <si>
    <t xml:space="preserve">כל היתר נרכשו ב-1.6.2021. </t>
  </si>
  <si>
    <t>כל המחשבים מופחתים על פני 8 שנים, כאשר השייר / הגרט אפס.</t>
  </si>
  <si>
    <t>בהתאם לנתוני טבלת הנתונים, סך המחשבים (עלות) היא 400 אלפי ש״ח.</t>
  </si>
  <si>
    <t>אלא שרק 75% מתוכם נרכשו לפני 1.1.2021, כלומר נחשב פחת נצבר בשלב ראשון רק על מחשבים שעלותם:</t>
  </si>
  <si>
    <t xml:space="preserve">75% * 400 = </t>
  </si>
  <si>
    <t>פחת נצבר 1.1.2021:</t>
  </si>
  <si>
    <r>
      <t xml:space="preserve">כ-75% מהמחשבים בחברה נרכשו ב - </t>
    </r>
    <r>
      <rPr>
        <sz val="12"/>
        <color rgb="FFFF0000"/>
        <rFont val="David"/>
      </rPr>
      <t>1.1.2020.</t>
    </r>
    <r>
      <rPr>
        <sz val="12"/>
        <color theme="1"/>
        <rFont val="David"/>
      </rPr>
      <t xml:space="preserve"> </t>
    </r>
  </si>
  <si>
    <t xml:space="preserve">[(300 - 0)/8] * 1 = </t>
  </si>
  <si>
    <t xml:space="preserve">הסבר נוסף: לקחנו את העלות, ניכינו את השייר / הגרט, וחילקנו בתקופת ההפחתה. </t>
  </si>
  <si>
    <t>הואיל והפריט נרכש ב-1.1.2020 (וכברירת מחדל - הפך לזמין מיד באותו הזמן) עד 1.1.2021 נצבר פחת בגין שנה אחת בלבד.</t>
  </si>
  <si>
    <t>חילוץ 2: מלאי הסגירה</t>
  </si>
  <si>
    <t xml:space="preserve">מלאי הסגירה הוא המלאי ל-31.12.2021. </t>
  </si>
  <si>
    <t>הוא נמדד לפי הנמוך מבין שני ערכים:</t>
  </si>
  <si>
    <t>א. עלות - וכאן נתון שיש 20,000 יח׳ מלאי בעלות 8 ש״ח ליחידה.</t>
  </si>
  <si>
    <t>ב. שווי מימוש נטו - מחיר מכירה צפוי (תכל׳ס) בניכוי עלויות השלמה ומכירה:</t>
  </si>
  <si>
    <t>מחיר מכירה</t>
  </si>
  <si>
    <t>השלמה ומכירה</t>
  </si>
  <si>
    <t>שווי מימוש נטו</t>
  </si>
  <si>
    <t>ש״ח ליחידה.</t>
  </si>
  <si>
    <t xml:space="preserve">הואיל ושווי המימוש נטו נמוך יותר, ייקבע ערכו של מלאי הסגירה לפי שווי </t>
  </si>
  <si>
    <t>מימוש נטו:</t>
  </si>
  <si>
    <t>6 * 20,000 = 120,000</t>
  </si>
  <si>
    <t>באלפי ש״ח:</t>
  </si>
  <si>
    <t>נכסים + הוצאות = התחייבויות + הון + הכנסות</t>
  </si>
  <si>
    <t>2007.5 + 589 = 365 + 100 + X + 985</t>
  </si>
  <si>
    <t xml:space="preserve">X = </t>
  </si>
  <si>
    <t>י״פ עודפים 1.1</t>
  </si>
  <si>
    <t xml:space="preserve">כעת נעבור לעדכונים הרלוונטיים, שדורשים מאיתנו לוודא, שכל הנתונים הנוספים, ללא יוצא מן הכלל, מקבלים ביטוי מושלם לעדכון </t>
  </si>
  <si>
    <t>הערכים לתום 2021, כבסיס לעריכת הדיווח הכספי לתום 2021.</t>
  </si>
  <si>
    <t>בטבלה נתון:</t>
  </si>
  <si>
    <t>הוצאות תקשורת לשלם 1.1.2021</t>
  </si>
  <si>
    <t xml:space="preserve">הואיל וחלק מהתשלום בסך 40 הוא לא בעד השנה, אלא סילוק התחייבות של שנה קודמת, </t>
  </si>
  <si>
    <t>עלינו לעדכן:</t>
  </si>
  <si>
    <t>ז׳ הוצאות לשלם 15</t>
  </si>
  <si>
    <t>ח׳ הוצאות 15</t>
  </si>
  <si>
    <t>פקודת חתך</t>
  </si>
  <si>
    <t xml:space="preserve"> יתרת חתך</t>
  </si>
  <si>
    <t>הוצאות לשלם 15</t>
  </si>
  <si>
    <t>ח׳ הוצאות 40</t>
  </si>
  <si>
    <t>ז׳ מזומן 40</t>
  </si>
  <si>
    <t>ז׳ הוצאות תקשורת 15</t>
  </si>
  <si>
    <t>ח׳ הוצאות תקשורת לשלם 15</t>
  </si>
  <si>
    <t>פקודת עדכון</t>
  </si>
  <si>
    <t>הסבר מקוצר:</t>
  </si>
  <si>
    <t xml:space="preserve">אם נתון שחלק מההוצאות שנרשמו הן למעשה סילוק התחייבות משנה קודמת - </t>
  </si>
  <si>
    <t>יש להקטין את ההוצאה ולאפס את ההתחייבות באותו הסכום (15).</t>
  </si>
  <si>
    <t>בצבלה המעודכנץ:</t>
  </si>
  <si>
    <t>הוצאות תקשורת לשלם:</t>
  </si>
  <si>
    <t>הוצאות תקשורת:</t>
  </si>
  <si>
    <t xml:space="preserve">15 - 15 = </t>
  </si>
  <si>
    <t xml:space="preserve">40 - 15 = </t>
  </si>
  <si>
    <t>מתוכם - עלות הנרכש ב-1.1.2020</t>
  </si>
  <si>
    <t>עלות הנרכש ב-30.6.2021</t>
  </si>
  <si>
    <t xml:space="preserve">25% * 400 = </t>
  </si>
  <si>
    <t>פחת - קו ישר, בשנים:</t>
  </si>
  <si>
    <t>אין ערך שייר / גרט.</t>
  </si>
  <si>
    <t>נפצל את חישוב הוצאות הפחת לחלקים:</t>
  </si>
  <si>
    <t>מחשבים שהיו כל השנה ולא נמכרו:</t>
  </si>
  <si>
    <t xml:space="preserve">300 - 100 = </t>
  </si>
  <si>
    <t>מחשבים חדשים שנרכשו ב-30.6.2021:</t>
  </si>
  <si>
    <t>מחשבים שהיו מתחילת השנה ונמכרו ב-30.9:</t>
  </si>
  <si>
    <t>סך הוצאות הפחת - מחשבים שהיו כל השנה ולא נמכרו:</t>
  </si>
  <si>
    <t xml:space="preserve">200 / 8 = </t>
  </si>
  <si>
    <t>סך הוצאות הפחת - מחשבים שהיו 1.1-30.9 (שנמכרו):</t>
  </si>
  <si>
    <t xml:space="preserve">(100 / 8) * (9/12) = </t>
  </si>
  <si>
    <t>סך הוצאות הפחת מחשבים חדשים 30.6.2021-31.12.2021:</t>
  </si>
  <si>
    <t xml:space="preserve">(100 / 8) * (6/12) = </t>
  </si>
  <si>
    <t>סה״כ הוצאות פחת (חדש!!!) ב-2021</t>
  </si>
  <si>
    <t>טיפול במכירה:</t>
  </si>
  <si>
    <t>כדי לדון במכירה, עלינו לחשב תחילה את העלות המופחתת (עלות בניכוי פחת נצבר) של הפריטים שנמכרו.</t>
  </si>
  <si>
    <t>עלות המחשבים שנמכרו:</t>
  </si>
  <si>
    <t>פחנ״צ מחשבים שנמכרו 1.1.2020-30.9.2021</t>
  </si>
  <si>
    <t xml:space="preserve">(100 / 8) * (1 + 9/12) = </t>
  </si>
  <si>
    <t>עלות מופחתת - מחשבים שנמכרו</t>
  </si>
  <si>
    <t xml:space="preserve">בנוסף נתון שנוצר הפסד הון במכירה, בסך 14 אלפי ש״ח. תזכורת: הפסד ההון הוא ההפרש (השלילי) </t>
  </si>
  <si>
    <t>בין תמורת המכירה לבין העלות המופחתת של הפריטים שנמכרו:</t>
  </si>
  <si>
    <t>x - 78.125 = -14</t>
  </si>
  <si>
    <t>x = 64.125</t>
  </si>
  <si>
    <t>כעת, כשכל הנתונים בדבר המכירה נותחו, ניתן לייצר את הפקודה הרלוונטית - למכירה:</t>
  </si>
  <si>
    <t>ח׳ מזומן (תמורה בגין המכירה)</t>
  </si>
  <si>
    <t>ז׳ עלות הפריט (עלות המחשבים שנמכרו)</t>
  </si>
  <si>
    <t>ח׳ פחת נצבר (של הפריטים שנמכרו)</t>
  </si>
  <si>
    <t>ח׳ הפסד הון</t>
  </si>
  <si>
    <t>מה לוקחים לטבלה עצמה? מה מעדכנים?</t>
  </si>
  <si>
    <t xml:space="preserve">500 + 64.125 = </t>
  </si>
  <si>
    <r>
      <t xml:space="preserve">להגדיל </t>
    </r>
    <r>
      <rPr>
        <b/>
        <sz val="12"/>
        <color rgb="FFFF0000"/>
        <rFont val="David"/>
      </rPr>
      <t>מזומן</t>
    </r>
    <r>
      <rPr>
        <sz val="12"/>
        <color theme="1"/>
        <rFont val="David"/>
      </rPr>
      <t xml:space="preserve"> ב-64.125</t>
    </r>
  </si>
  <si>
    <t xml:space="preserve">400 - 100 = </t>
  </si>
  <si>
    <r>
      <t xml:space="preserve">להקטין </t>
    </r>
    <r>
      <rPr>
        <b/>
        <sz val="12"/>
        <color rgb="FFFF0000"/>
        <rFont val="David"/>
      </rPr>
      <t>עלות המחשבים</t>
    </r>
    <r>
      <rPr>
        <sz val="12"/>
        <color theme="1"/>
        <rFont val="David"/>
      </rPr>
      <t xml:space="preserve"> ב-100:</t>
    </r>
  </si>
  <si>
    <r>
      <t xml:space="preserve">להכיר ב״חדש!!!״ </t>
    </r>
    <r>
      <rPr>
        <b/>
        <sz val="12"/>
        <color rgb="FFFF0000"/>
        <rFont val="David"/>
      </rPr>
      <t>הפסד הון</t>
    </r>
    <r>
      <rPr>
        <sz val="12"/>
        <color theme="1"/>
        <rFont val="David"/>
      </rPr>
      <t xml:space="preserve"> (בהוצאות):</t>
    </r>
  </si>
  <si>
    <r>
      <t xml:space="preserve">לעדכן את </t>
    </r>
    <r>
      <rPr>
        <b/>
        <sz val="12"/>
        <color rgb="FFFF0000"/>
        <rFont val="David"/>
      </rPr>
      <t>פחנ״צ מחשבים</t>
    </r>
    <r>
      <rPr>
        <sz val="12"/>
        <color theme="1"/>
        <rFont val="David"/>
      </rPr>
      <t>:</t>
    </r>
  </si>
  <si>
    <t xml:space="preserve">37.5 + 40.625 - 21.875 = </t>
  </si>
  <si>
    <t>לעניין הפחת הנצבר בגין המחשבים: התחלנו מהפחת הנצבר לתחילת השנה 37.5, הוספנו את הוצאות הפחת השנה - 40.625,</t>
  </si>
  <si>
    <t xml:space="preserve">והפחתנו את הפחת הנצבר בגין הפריט שנמכר 21.875. </t>
  </si>
  <si>
    <t>חדש!!! הוצאות פחת!!!</t>
  </si>
  <si>
    <t>חדש!! הפסד הון!!!</t>
  </si>
  <si>
    <t>טלפונים סלולריים - בטבלה נתונה עלותם:</t>
  </si>
  <si>
    <t>תקופת הפחתה - בשנים - קו ישר:</t>
  </si>
  <si>
    <t>הוצאות פחת בגין טלפונים סלולריים:</t>
  </si>
  <si>
    <t xml:space="preserve">(80 - 10) / 4 * (7/12) = </t>
  </si>
  <si>
    <t>ז׳ פחת נצבר - טלפונים סלולריים</t>
  </si>
  <si>
    <t>בטבלה למעלה:</t>
  </si>
  <si>
    <t>עדכון הוצאות הפחת בסה״כ ל:</t>
  </si>
  <si>
    <t xml:space="preserve">40.625 + 10.208 = </t>
  </si>
  <si>
    <t>ח׳ הוצאות ריבית</t>
  </si>
  <si>
    <t>ז׳ הוצאות ריבית לשלם</t>
  </si>
  <si>
    <t>סעיף הוצאות ריבית עדכני:</t>
  </si>
  <si>
    <t xml:space="preserve">75 + 8 = </t>
  </si>
  <si>
    <t>הוצאות ריבית לשלם - חדש!!!</t>
  </si>
  <si>
    <t>חדש!!! הוצאות ריבית לשלם</t>
  </si>
  <si>
    <t>בשלב לפני העדכונים הסיכומים היו שונים מהמופיע לעיל, ועל בסיסם חילצנו יתרת פתיחה עודפים:</t>
  </si>
  <si>
    <t>כעת, נעבור ככל הניתן להצגת דוחות כספיים:</t>
  </si>
  <si>
    <t>חברת ״שרה״ בע״מ - דוח רווח והפסד לשנה שנסתיימה ב-31.12.2021</t>
  </si>
  <si>
    <t>הוצאות אחרות</t>
  </si>
  <si>
    <t>רווח לפני מסים על ההכנסה = רווח נקי</t>
  </si>
  <si>
    <t xml:space="preserve">300 + 60 - 120 = </t>
  </si>
  <si>
    <t>שכר אנשי מכירות ועמלות סוכני מכירות</t>
  </si>
  <si>
    <t>הנחות מזומן מספקים + הכנסות ריבית</t>
  </si>
  <si>
    <t>חברת ״שרה״ בע״מ - הדוח על המצב הכספי (מאזן) ליום 31.12.2021</t>
  </si>
  <si>
    <t>פקדון בנקאי לשנה / השקעות לזמן קצר</t>
  </si>
  <si>
    <t>רכוש קבוע, נטו: מחשבים וסלולריים</t>
  </si>
  <si>
    <t xml:space="preserve">פקדון לזמן ארוך </t>
  </si>
  <si>
    <t>סך ההת׳ השוטפות</t>
  </si>
  <si>
    <t>סך ההתחייבויות הלא שו׳</t>
  </si>
  <si>
    <t>שאלת מסה נוספת עם פתרון מלא</t>
  </si>
  <si>
    <t xml:space="preserve">מטרה: תרגול מוקלט ומפורט בכתב של שאלות ממגוון נושאים שונים. </t>
  </si>
  <si>
    <t>ההסכם נחתם ב-1.6.2020. עד ליום 31.12.2020 כולל לא סופק שירות כלל ולא שולם סכום כלשהו במזומן עבור</t>
  </si>
  <si>
    <t>השירותים לחברה. בשנת 2021, סופקו שירותים בהיקף של 200,000 ש״ח כאשר המזומן שהתקבל הסתכם לסכום</t>
  </si>
  <si>
    <t>כולל של 270,000 ש״ח במהלך שנה זו. בשנת 2022, סופקו שירותים בהיקף של 300,000 ש״ח כאשר המזומן שהתקבל</t>
  </si>
  <si>
    <t>הסתכם לסכום של 140,000 ש״ח במהלך שנה זו. בשנת 2023, סופקו שירותים בהיקף של 100,000 ש״ח והתקבל</t>
  </si>
  <si>
    <t>מזומן בסכום של 180,000 ש״ח, ובשנת 2024 סופקו שירותים בהיקף 120,000 ש״ח והתקבל כל הסכום במזומן</t>
  </si>
  <si>
    <t xml:space="preserve">הנותר שמגיע לחברה. </t>
  </si>
  <si>
    <t>בנתונים אלו, ועבור כל אחת מהשנים הנדונות בשאלה, נדרש:</t>
  </si>
  <si>
    <t>א. הציגו את פקודות היומן שתרשמנה בהנהלת החשבונות של החברה על בסיס מזומן.</t>
  </si>
  <si>
    <t>ב. הציגו את ההכנסה שתירשם בדוח רווח והפסד של החברה לפי בסיס צבירה.</t>
  </si>
  <si>
    <t>ג. הציגו את פקודת ההתאמה / ״פקודת החתך״ שתירשם בכל שנה.</t>
  </si>
  <si>
    <t xml:space="preserve">ד. הציגו את יתרת החתך לתום כל אחת מהשנים, כולל שם היתרה, סכום וסיווג (נכס / התחייבות). </t>
  </si>
  <si>
    <t xml:space="preserve">חברת ״האחיינית״ בע״מ (להלן: ״החברה״) עוסקת במתן שירות בתחומים שונים. להלן נתונים הקשורים לעסקת  </t>
  </si>
  <si>
    <t>התקשרות עם לקוח של החברה בדבר פרויקט לאספקת שירות מתמשך שייפרס על פני מספר שנים, כדלקמן:</t>
  </si>
  <si>
    <t>חברת ״חשבונאים וממשיכים״ בע״מ עוסקת במגוון רחב של פעילויות עסקיות, ומבצעת פעילויות רבות תוך מתן</t>
  </si>
  <si>
    <t>אשראי נדיב ללקוחותיה. להלן נתונים בדבר עסקאות ואירועים שהתרחשו בחברה בשנים 2021 ו-2022:</t>
  </si>
  <si>
    <t>ליום 1 בינואר 2021 היא 80,000 ש״ח ושיעור ההלח״מ ל-1 בינואר 2021 הוא 3%.</t>
  </si>
  <si>
    <t>בשנת 2021, החברה סיפקה שירותים באשראי בהיקף של 600,000 ש״ח, ביצעה גבייה מלקוחות בהיקף 450,000 ש״ח,</t>
  </si>
  <si>
    <t xml:space="preserve">בשנת 2022, החברה סיפקה שירותים בהיקף כולל של 800,000 ש״ח, כאשר מתוך סכום זה, מכירות בהיקף של  </t>
  </si>
  <si>
    <t>כ-150,000 ש״ח בוצעו במזומן והיתר מכירות באשראי. כמו כן, ביצעה החברה גבייה מלקוחות בסכום של 230,000 ש״ח</t>
  </si>
  <si>
    <t>וכן גילתה ורשמה חוב אבוד בסך 3,000 ש״ח. נכון ליום 31.12.2022, מעריכה החברה את שיעור ההלח״מ לפי</t>
  </si>
  <si>
    <t>כ-5% מיתרת הלקוחות המעודכנת.</t>
  </si>
  <si>
    <t>בנתונים אלו, השיבו לנדרשים הבאים:</t>
  </si>
  <si>
    <t>שאלה 3</t>
  </si>
  <si>
    <t>להלן נתונים בדבר תנועות במלאי בחברת ״אביבים ותותחים״ בע״מ בשנה מסוימת. נתוני העלויות והמחירים</t>
  </si>
  <si>
    <t>הם בש״ח:</t>
  </si>
  <si>
    <t>מכירות שבוצעו התקופה</t>
  </si>
  <si>
    <t>א. מהי עלות מלאי הסגירה ליום 31.12.2022 בהנחה שהחברה מנהלת את המלאי בשיטת FIFO?</t>
  </si>
  <si>
    <t>ג. בהנחה שמחיר המכירה הצפוי לכל יחידת מלאי שנותרה ליום 31.12.2022 הוא 100 ש״ח, וכי עלויות ההשלמה</t>
  </si>
  <si>
    <t xml:space="preserve">והמכירה הן 17 ש״ח, הציגו את התחשיב המלא כולל כל צעדי המשנה כדי לחשב את הרווח הגולמי בהנחה </t>
  </si>
  <si>
    <t>שהמלאי מנוהל בשיטת הממוצע המשוקלל התמידי.</t>
  </si>
  <si>
    <t>ב. מהי עלות מלאי הסגירה בהנחה שהמלאי מנוהל בשיטת הממוצע המשוקלל התמידי (ממוצע נע)?</t>
  </si>
  <si>
    <t>שאלה 4</t>
  </si>
  <si>
    <t>חברת ה״מומחים בטכנולוגיה״ רכשה בתאריך 1.1.2020 מכונה לחימום נקניק לעובדי המשרד. עלות המכונה</t>
  </si>
  <si>
    <t xml:space="preserve">היא 100,000 ש״ח, החברה שילמה על ההובלה שלה 20,000 ש״ח, על ההרכבה שלה 10,000 ש״ח, על בדיקת </t>
  </si>
  <si>
    <t>התקינות המתחייבת על פי החוק 15,000 ש״ח ועל חשמל היא משלמת כל שנה בגין ההפעלה 7,000 ש״ח.</t>
  </si>
  <si>
    <t>אורך החיים של המכונה הוא 10 שנים. המכונה הפכה לזמינה לשימוש ב-1.4.2020, וערך השייר שלה מהווה</t>
  </si>
  <si>
    <t>שיעור של 10% מעלותה הכוללת בהתאם לעקרונות החשבונאיים שנלמדו. שיטת ההפחתה של המכונה היא</t>
  </si>
  <si>
    <t xml:space="preserve">סכום ספרות השנים היורד (סס״י) ובתאריך 30.9.2023 היא נמכרה במפתיע בתמורה שהובילה להיווצרות </t>
  </si>
  <si>
    <t xml:space="preserve">רווח הון בסך 9,000 ש״ח. </t>
  </si>
  <si>
    <t>א. חשבו והציגו את כל היתרות המאזניות והתוצאתיות בגין הפריט עבור כל אחת מהשנים שבהן הוא הוחזק,</t>
  </si>
  <si>
    <t>לרבות: עלות, פחת, נצבר, ערך ספרים / עלות מופחתת, הוצאות פחת, רווח / הפסד הון.</t>
  </si>
  <si>
    <t>ב. מהי תמורת המכירה של הפריט?</t>
  </si>
  <si>
    <t>הרצאה 13 - שאלות קצרות במגוון נושאים (זום בלבד + הקלטה)</t>
  </si>
  <si>
    <t>ונכון לתום שנת 2021, שיעור ההלח״מ מוערך לפי 4% מיתרת הלקוחות המעודכנת. ידוע כי יתרת הלקוחות ברוטו</t>
  </si>
  <si>
    <t>א. מהי יתרת הלקוחות נטו לתום כל אחת מהשנים 2021 ו-2022?</t>
  </si>
  <si>
    <t>ב. מהן הוצאות ההלח״מ שתכללנה בדוח רווח והפסד של החברה לכל אחת מהשנים 2021 ו-2022?</t>
  </si>
  <si>
    <t>שם המרצה:</t>
  </si>
  <si>
    <t>דוא״ל:</t>
  </si>
  <si>
    <t>shay.tsaban@gmail.com</t>
  </si>
  <si>
    <t>לציין תמיד: ״מבוא לחשבונאות פיננסית - עמק יזרעאל״.</t>
  </si>
  <si>
    <t>טלפון:</t>
  </si>
  <si>
    <t>050-6551519</t>
  </si>
  <si>
    <t>לפניות דחופות / מילואים וכו׳</t>
  </si>
  <si>
    <t>כל חומרי ההרצאות, התרגילים והפתרונות - יופיעו בקובץ זה, בחלוקה לגיליונות.</t>
  </si>
  <si>
    <t>הקלטות השיעורים יועלו לחומרי למידה באתר.</t>
  </si>
  <si>
    <t xml:space="preserve">מטרת החשבונאות הפיננסית [סוג של מערכת לייצור מידע] היא לספק מידע כספי [פיננסי] שימושי לצרכים של קבלת החלטות </t>
  </si>
  <si>
    <t>כלכליות, בעיקר בהקשר להקצאת משאבים לישות [החברה] המדווחת.</t>
  </si>
  <si>
    <t>בשפה פשוטה - המידע שמספקת החשבונאות הפיננסית יעזור להשיב על השאלה - האם כדאי להשקיע בחברה?</t>
  </si>
  <si>
    <t>או האם בתור בנק, ״הגיוני״ להעניק לחברה הלוואה?</t>
  </si>
  <si>
    <t>לשם מענה לשאלות אלו, אנו זקוקים למידע לגביה.</t>
  </si>
  <si>
    <t>מידע שיעזור להסיק האם ועד כמה החברה צפויה להניב ערך (רווחים / עליית ערך) למשקיעים;</t>
  </si>
  <si>
    <t xml:space="preserve">ועד כמה קיים סיכוי גבוה להחזר הקרן והריבית (במקרה של הלוואות). </t>
  </si>
  <si>
    <t>המחשה לגבי סוג הערכים בדוח רווח והפסד וחשיבותם:</t>
  </si>
  <si>
    <t>טרם הגיע (או שולם בתקופה אחרת). הכנסות, אם כך, משקפות פעילות ולא מזומן.</t>
  </si>
  <si>
    <t>האם כשכסף נכנס מתעדים הכנסה?</t>
  </si>
  <si>
    <t>כאשר מוכרים / מעניקים שירות!</t>
  </si>
  <si>
    <r>
      <t xml:space="preserve">כך שלמעשה, בדוח רווח והפסד, </t>
    </r>
    <r>
      <rPr>
        <b/>
        <sz val="12"/>
        <rFont val="David"/>
      </rPr>
      <t>הכנסות</t>
    </r>
    <r>
      <rPr>
        <sz val="12"/>
        <rFont val="David"/>
      </rPr>
      <t xml:space="preserve"> יתועדו ויירשמו כאשר חברה מבצעת פעילויות כגון מכירה או מתן שירות, גם אם הכסף</t>
    </r>
  </si>
  <si>
    <t>במועד אחר.</t>
  </si>
  <si>
    <r>
      <rPr>
        <b/>
        <sz val="12"/>
        <rFont val="David"/>
      </rPr>
      <t>הוצאות</t>
    </r>
    <r>
      <rPr>
        <sz val="12"/>
        <rFont val="David"/>
      </rPr>
      <t xml:space="preserve"> יתועדו ויירשמו כאשר חברה מבצעת פעילויות שצורכות ערך (צריכת שירותים או משאבים) גם אם הכסף משולם</t>
    </r>
  </si>
  <si>
    <t>תרגול נוסף - פרקטי יותר לגבי הכנסות והוצאות וההבדל בינן לבין מזומן</t>
  </si>
  <si>
    <t>מכונות וציוד</t>
  </si>
  <si>
    <t>נדל״ן / מבנים</t>
  </si>
  <si>
    <t xml:space="preserve">פקדונות </t>
  </si>
  <si>
    <t>משכנתאות (הלוואה לזמן ארוך)</t>
  </si>
  <si>
    <t>סך ההתחייבויות</t>
  </si>
  <si>
    <t>השקעת הבעלים (הון מניות ופרמיה)</t>
  </si>
  <si>
    <t>רווח שנצבר (עודפים)</t>
  </si>
  <si>
    <t>סה״כ התחייבויות והון עצמי</t>
  </si>
  <si>
    <t>למעשה: הדוח על המצב הכספי (המאזן) נשען על ההבנה שלכל נכס חייב להיות מקור מימון (מה שיצר אותו, איפשר אותו):</t>
  </si>
  <si>
    <t>או התחייבויות או הון עצמי, כך שבסך הכל, תמיד מתקיים: נכסים = התחייבויות + הון עצמי.</t>
  </si>
  <si>
    <t>פריטי רכוש (מזומן, מלאי, מכונות וכיו״ב) וכן פריטים אחרים המשקפים צפי לקבלת כסף (כגון: חוב לקוח כלפי החברה).</t>
  </si>
  <si>
    <t>פריט אשר כתוצאה ממנו צפויות לזרום מהחברה (החוצה) הטבות כלכליות (כגון הלוואה).</t>
  </si>
  <si>
    <t xml:space="preserve">בשלב זה: כולל השקעת בעלים (הון מניות / פרמיה) וכן רווח שנצבר (עודפים). </t>
  </si>
  <si>
    <t>חברה צרכה שירותים מספק בשווי 100,000 ש״ח.</t>
  </si>
  <si>
    <t>ראשית, התייחסות לבקשות הקהל:</t>
  </si>
  <si>
    <t>הבנתי שהיה אתגר מסויים בתרגול ותחושת פער כזו או אחרת, לכן נטפל בה תחילה. אחרי שנסגור את הסוגיה,</t>
  </si>
  <si>
    <t>נמשיך הלאה לרענון, דיון ומשמעויות בהיבט הדוחות הכספיים של סוגי חשבונות שונים.</t>
  </si>
  <si>
    <t>והפעם: שייקה בגרסה הבריאה מעביר את המפגש (חמסה חמסה)</t>
  </si>
  <si>
    <r>
      <t xml:space="preserve">המפגש הקודם עסק בעיקרו בהגדרות: </t>
    </r>
    <r>
      <rPr>
        <b/>
        <sz val="12"/>
        <color theme="1"/>
        <rFont val="David"/>
      </rPr>
      <t>נכסים</t>
    </r>
    <r>
      <rPr>
        <sz val="12"/>
        <color theme="1"/>
        <rFont val="David"/>
      </rPr>
      <t xml:space="preserve"> (</t>
    </r>
    <r>
      <rPr>
        <u/>
        <sz val="12"/>
        <color theme="1"/>
        <rFont val="David"/>
      </rPr>
      <t>משאבים</t>
    </r>
    <r>
      <rPr>
        <sz val="12"/>
        <color theme="1"/>
        <rFont val="David"/>
      </rPr>
      <t xml:space="preserve">, </t>
    </r>
    <r>
      <rPr>
        <u/>
        <sz val="12"/>
        <color theme="1"/>
        <rFont val="David"/>
      </rPr>
      <t>צפי להטבה כלכלית</t>
    </r>
    <r>
      <rPr>
        <sz val="12"/>
        <color theme="1"/>
        <rFont val="David"/>
      </rPr>
      <t xml:space="preserve">) אל מול </t>
    </r>
    <r>
      <rPr>
        <b/>
        <sz val="12"/>
        <color theme="1"/>
        <rFont val="David"/>
      </rPr>
      <t>מקורות המימון</t>
    </r>
    <r>
      <rPr>
        <sz val="12"/>
        <color theme="1"/>
        <rFont val="David"/>
      </rPr>
      <t xml:space="preserve"> ששימשו</t>
    </r>
  </si>
  <si>
    <r>
      <t>בהשגתם (</t>
    </r>
    <r>
      <rPr>
        <b/>
        <u/>
        <sz val="12"/>
        <color theme="1"/>
        <rFont val="David"/>
      </rPr>
      <t>התחייבויות</t>
    </r>
    <r>
      <rPr>
        <sz val="12"/>
        <color theme="1"/>
        <rFont val="David"/>
      </rPr>
      <t xml:space="preserve"> ו</t>
    </r>
    <r>
      <rPr>
        <b/>
        <u/>
        <sz val="12"/>
        <color theme="1"/>
        <rFont val="David"/>
      </rPr>
      <t>הון עצמי</t>
    </r>
    <r>
      <rPr>
        <sz val="12"/>
        <color theme="1"/>
        <rFont val="David"/>
      </rPr>
      <t>).</t>
    </r>
  </si>
  <si>
    <r>
      <t xml:space="preserve">הללו. כלומר, </t>
    </r>
    <r>
      <rPr>
        <b/>
        <sz val="12"/>
        <color theme="1"/>
        <rFont val="David"/>
      </rPr>
      <t>נסווג את היתרות בהתאם לנלמד</t>
    </r>
    <r>
      <rPr>
        <sz val="12"/>
        <color theme="1"/>
        <rFont val="David"/>
      </rPr>
      <t xml:space="preserve">, ולאחר מכן נעסוק </t>
    </r>
    <r>
      <rPr>
        <b/>
        <sz val="12"/>
        <color theme="1"/>
        <rFont val="David"/>
      </rPr>
      <t>במתכונת עריכה מלאה</t>
    </r>
    <r>
      <rPr>
        <sz val="12"/>
        <color theme="1"/>
        <rFont val="David"/>
      </rPr>
      <t>, כולל כזו שמבהירה</t>
    </r>
  </si>
  <si>
    <t>בקצרה: מסיווג ערכים לדוחות מלאים - זו המטרה של המפגש שלנו!</t>
  </si>
  <si>
    <r>
      <rPr>
        <b/>
        <sz val="12"/>
        <color rgb="FF0070C0"/>
        <rFont val="David"/>
      </rPr>
      <t>דוח רווח והפסד</t>
    </r>
    <r>
      <rPr>
        <sz val="12"/>
        <color theme="1"/>
        <rFont val="David"/>
      </rPr>
      <t xml:space="preserve"> מפרט בדבר הכנסות החברה והוצאותיה, בחלוקה לתחומי פעילות. </t>
    </r>
  </si>
  <si>
    <t>בקצרה: דווח רווח והפסד מציג פעילויות; סעיפיו הם סוגי הפעילויות שהחברה מבצעת.</t>
  </si>
  <si>
    <t>מכירות (הכנסות ממכירות)</t>
  </si>
  <si>
    <t>באופיס דיפו: מכירות ציוד משרדי; בכלמוביל: מכירות כלי רכב</t>
  </si>
  <si>
    <t>באופיס דיפו: כמה עלו המוצרים שנמכרו (הציוד המשרדי, כלי רכב)</t>
  </si>
  <si>
    <t>עלות המכירות (עלות המכר)</t>
  </si>
  <si>
    <t>פעילות מיוחדת / שאיננה מלב העסקים, כגון חברה שמוכרת נקניקיות - הניבה רוווח חד פעמי ממכירת מכונית המנכ״ל</t>
  </si>
  <si>
    <r>
      <t xml:space="preserve">המבנה הבסיסי של </t>
    </r>
    <r>
      <rPr>
        <b/>
        <u/>
        <sz val="12"/>
        <color theme="1"/>
        <rFont val="David"/>
      </rPr>
      <t>דוח רווח והפסד</t>
    </r>
    <r>
      <rPr>
        <b/>
        <sz val="12"/>
        <color theme="1"/>
        <rFont val="David"/>
      </rPr>
      <t xml:space="preserve"> בחברה מסחרית (שבה עוסקים בקורס), המשווקת ומוכרת מוצרים, הוא כדלקמן:</t>
    </r>
  </si>
  <si>
    <t>דוח כספי מס׳ 1 - רווח והפסד</t>
  </si>
  <si>
    <t>דוח כספי מס׳ 2 - המאזן (הדוח על המצב הכספי)</t>
  </si>
  <si>
    <r>
      <t xml:space="preserve">נכסים </t>
    </r>
    <r>
      <rPr>
        <b/>
        <u/>
        <sz val="12"/>
        <color theme="1"/>
        <rFont val="David"/>
      </rPr>
      <t>שוטפים</t>
    </r>
    <r>
      <rPr>
        <b/>
        <sz val="12"/>
        <color theme="1"/>
        <rFont val="David"/>
      </rPr>
      <t xml:space="preserve"> (עד שנה)</t>
    </r>
  </si>
  <si>
    <t>הוצאות פרסום - דיוור ישיר (פרסום בדואר)</t>
  </si>
  <si>
    <t>עמלות בנק (הוצאות בגין שירותים בנקאיים)</t>
  </si>
  <si>
    <r>
      <t xml:space="preserve">שיקים (המחאות) לקבל - </t>
    </r>
    <r>
      <rPr>
        <sz val="10"/>
        <rFont val="David"/>
      </rPr>
      <t>שיק דחוי שקיבלנו</t>
    </r>
  </si>
  <si>
    <r>
      <t xml:space="preserve">שיקים (המחאות) לפירעון - </t>
    </r>
    <r>
      <rPr>
        <sz val="9"/>
        <rFont val="David"/>
      </rPr>
      <t>שיק דחוי שנתתי</t>
    </r>
  </si>
  <si>
    <t>הון עצמי ליום 1.1.2020 (יתרת פתיחה)</t>
  </si>
  <si>
    <t>משיכת יתר (אוברדראפט/מינוס בבנק)</t>
  </si>
  <si>
    <r>
      <t xml:space="preserve">נכסים = התחייבויות + </t>
    </r>
    <r>
      <rPr>
        <sz val="12"/>
        <color rgb="FFFF0000"/>
        <rFont val="David"/>
      </rPr>
      <t>הון עצמי</t>
    </r>
    <r>
      <rPr>
        <sz val="12"/>
        <rFont val="David"/>
      </rPr>
      <t xml:space="preserve"> [כשכל הערכים הם ל-31.12]</t>
    </r>
  </si>
  <si>
    <t>ההון העצמי כולל את ההון לתחילת השנה,</t>
  </si>
  <si>
    <t>בתוספת השקעות בעלים השנה (אין כאן),</t>
  </si>
  <si>
    <t>ובתוספת רווח השנה</t>
  </si>
  <si>
    <t>הרווח הוא ההכנסות בניכוי ההוצאות</t>
  </si>
  <si>
    <t>נעביר את ההוצאות שמופיעות בסימן שלילי לאגף ימין, והן יהפכו לבעלות סימן חיובי:</t>
  </si>
  <si>
    <t>ונקבל משוואה:</t>
  </si>
  <si>
    <t>,+ או (-)</t>
  </si>
  <si>
    <t>באופן כללי, כוללות הוצאות מימון הוצאות פיננסיות כגון: הוצאות ריבית, הפסד מניירות ערך, עמלות בנק וכיוצא בזה.</t>
  </si>
  <si>
    <t>משלמת ללקוח בעד ״הקדמת התשלום״. לכן, הנחת מזומן ללקוח מאד דומה לריבית בגין הלוואה.</t>
  </si>
  <si>
    <t>בנוסף, כוללות הוצאות המימון הנחות מזומן ללקוחות. מדוע? משום שכאשר חברה מעניקה הנחת מזומן, היא למעשה</t>
  </si>
  <si>
    <t xml:space="preserve">זאת בשונה מהנחה ״מסחרית ללקוח״ שהיא הנחה ״כללית יותר״ ולכן מקוזז (מקטינה) את המכירות. </t>
  </si>
  <si>
    <t>מכירות (כולל התייחסות להנחה מסחרית)</t>
  </si>
  <si>
    <t>הוצאות מימון (כולל התייחסות להנחת מזומן ולהבדל בינה לבין הנחה מסחרית ללקוח)</t>
  </si>
  <si>
    <t>הכנסות מימון כוללות הכנסות ריבית, רווח מהשקעה פיננסית (כגון השקעה במניות הנסחרות בבורסה).</t>
  </si>
  <si>
    <t>בנוסף, כוללות הכנסות המימון הנחות מזומן שהתקבלו מספקים. מדוע? משום שכאשר ספק מעניק לנו הנחת מזומן,</t>
  </si>
  <si>
    <t xml:space="preserve">הוא למעשה משלם לנו בעד זה ״שהקדמנו את התשלום לספק״. כלומר - הענקנו אשראי לספק. </t>
  </si>
  <si>
    <t xml:space="preserve">לכן, ההטבה הנובעת מכך היא כעין הכנסת ריבית. </t>
  </si>
  <si>
    <t>סוגי הנחות וסיווגן:</t>
  </si>
  <si>
    <t>ללקוח</t>
  </si>
  <si>
    <t>שנתתי</t>
  </si>
  <si>
    <t>שהתקבלה</t>
  </si>
  <si>
    <t>מספק</t>
  </si>
  <si>
    <t>הקטנת</t>
  </si>
  <si>
    <t>ההכנסה</t>
  </si>
  <si>
    <t>ממכירות</t>
  </si>
  <si>
    <t>הקניות</t>
  </si>
  <si>
    <t>מספקים</t>
  </si>
  <si>
    <t>מימון</t>
  </si>
  <si>
    <r>
      <t xml:space="preserve">הנחה </t>
    </r>
    <r>
      <rPr>
        <b/>
        <sz val="12"/>
        <color rgb="FF00B050"/>
        <rFont val="David"/>
      </rPr>
      <t>מסחרית</t>
    </r>
  </si>
  <si>
    <r>
      <t xml:space="preserve">הנחת </t>
    </r>
    <r>
      <rPr>
        <b/>
        <sz val="12"/>
        <color rgb="FFFF0000"/>
        <rFont val="David"/>
      </rPr>
      <t>מזומן</t>
    </r>
  </si>
  <si>
    <t>לקוחות הם הנכס המייצג את חוב לקוחות החברה כלפיה. זהו נכס, משום שצפויה גבייה שלהם (שתכניס משאבים</t>
  </si>
  <si>
    <t xml:space="preserve">לחברה). </t>
  </si>
  <si>
    <t>סעיף הלקוחות בדוחות הכספיים יכול לכלול את הרכיבים הבאים:</t>
  </si>
  <si>
    <t>לקוחות (״ברוטו״)</t>
  </si>
  <si>
    <t>שיקים (המחאות) לקבל</t>
  </si>
  <si>
    <t>גם שיקים לקבל הם חלק מהלקוחות, משום שמדובר בחוב לקוחות כלפינו, כל עוד השיק הדחוי שקיבלנו טרם נפרע.</t>
  </si>
  <si>
    <t>בניכוי הפרשה לחובות מסופקים (הלח״מ)</t>
  </si>
  <si>
    <t xml:space="preserve">לקוחות (״נטו״) = סעיף הלקוחות שיוצג </t>
  </si>
  <si>
    <t>במאזן</t>
  </si>
  <si>
    <t>מהי המשמעות של ״הפרשה לחובות מסופקים״?</t>
  </si>
  <si>
    <t>החוב הבעייתי הזה נקרא ״הלח״מ״ - ראשי תיבות של ״הפרשה לחובות מסופקים״ = חובות שגבייתם מוטלת בספק.</t>
  </si>
  <si>
    <t>במקרה כזה, הלקוחות יוצגו במאזן בסכום של 95 מיליון.</t>
  </si>
  <si>
    <r>
      <t xml:space="preserve">נערוך דיון נרחב בנושא ממש בקרוב בפרק שלם של הקורס. אבל על קצה המזלג: נניח שלקוחות חייבים לחברה </t>
    </r>
    <r>
      <rPr>
        <b/>
        <sz val="12"/>
        <color theme="1"/>
        <rFont val="David"/>
      </rPr>
      <t>100</t>
    </r>
    <r>
      <rPr>
        <sz val="12"/>
        <color theme="1"/>
        <rFont val="David"/>
      </rPr>
      <t xml:space="preserve"> מיליון ש״ח.</t>
    </r>
  </si>
  <si>
    <r>
      <t xml:space="preserve">אבל בשל קשיים בפירעון החוב (הלקוחות בקשיים פיננסיים) מעריכה הבאה שחלק של </t>
    </r>
    <r>
      <rPr>
        <b/>
        <sz val="12"/>
        <color theme="1"/>
        <rFont val="David"/>
      </rPr>
      <t>5</t>
    </r>
    <r>
      <rPr>
        <sz val="12"/>
        <color theme="1"/>
        <rFont val="David"/>
      </rPr>
      <t xml:space="preserve"> מיליון ש״ח ככל הנראה לא ייגבה.</t>
    </r>
  </si>
  <si>
    <t>לקוחות (נכס)</t>
  </si>
  <si>
    <t>מעבר לערכים אלו, במידה וקיים נתון בגין פחת נצבר (לעתים מסומן בתור פחנ״צ), מדובר בנתון שיש לנכות מערך הפריטים</t>
  </si>
  <si>
    <t xml:space="preserve">כדי להגיע לאופן הצגתם כנכס רכוש קבוע בנכסי המאזן. </t>
  </si>
  <si>
    <t>נניח למשל שבנתוני השאלה היו מופיעים גם נתונים לגבי:</t>
  </si>
  <si>
    <t>פחת נצבר מחשבים:</t>
  </si>
  <si>
    <t>פחת נצבר ריהוט - מנכ״ל:</t>
  </si>
  <si>
    <t>ריהוט</t>
  </si>
  <si>
    <t>ערך נטו</t>
  </si>
  <si>
    <t>להצגה</t>
  </si>
  <si>
    <t>פחנ״צ</t>
  </si>
  <si>
    <t>שימו לב להבדל בין פחת נצבר שמקטין נכסים (נכסים במינוס) במאזן, לבין הוצאות פחת שהן הוצאה ברווח והפסד (הוצאות הנהלה וכלליות,</t>
  </si>
  <si>
    <t xml:space="preserve">אלא אם יש סיבה טובה להניח אחרת). </t>
  </si>
  <si>
    <t>דוח רווח והפסד נפתח בחברה מסחרית (חברה שקונה ומוכרת מוצרים כעיסוק עיקרי) בשורות הבאות:</t>
  </si>
  <si>
    <t>מכירות (מכירות המוצרים העיקריים בחברה) - הכנסות</t>
  </si>
  <si>
    <t>עלות המכירות (עלות המוצרים שנמכרו) - הוצאה</t>
  </si>
  <si>
    <t>רווח גולמי - ההפרש בין המכירות לעלות המכר</t>
  </si>
  <si>
    <r>
      <rPr>
        <b/>
        <sz val="12"/>
        <color theme="0"/>
        <rFont val="David"/>
      </rPr>
      <t>,</t>
    </r>
    <r>
      <rPr>
        <b/>
        <sz val="12"/>
        <color theme="1"/>
        <rFont val="David"/>
      </rPr>
      <t>=</t>
    </r>
  </si>
  <si>
    <r>
      <t xml:space="preserve">רווח גולמי הוא הרווח </t>
    </r>
    <r>
      <rPr>
        <u/>
        <sz val="12"/>
        <color theme="1"/>
        <rFont val="David"/>
      </rPr>
      <t>הבסיסי ביותר</t>
    </r>
    <r>
      <rPr>
        <sz val="12"/>
        <color theme="1"/>
        <rFont val="David"/>
      </rPr>
      <t xml:space="preserve"> - המייצג את ההפרש בין ההכנסות העיקריות בחברה (ממכירות) </t>
    </r>
  </si>
  <si>
    <r>
      <t xml:space="preserve">הנחה מסחרית: כל הנחה </t>
    </r>
    <r>
      <rPr>
        <b/>
        <sz val="12"/>
        <color theme="1"/>
        <rFont val="David"/>
      </rPr>
      <t>שאיננה</t>
    </r>
    <r>
      <rPr>
        <sz val="12"/>
        <color theme="1"/>
        <rFont val="David"/>
      </rPr>
      <t xml:space="preserve"> הנחת מזומן.</t>
    </r>
  </si>
  <si>
    <t>הנחות מזומן הן הוצאות מימון / הכנסות מימון,</t>
  </si>
  <si>
    <t>ואינן נכללות במכירות / בעלות המכירות.</t>
  </si>
  <si>
    <r>
      <t xml:space="preserve">בניכוי הנחות </t>
    </r>
    <r>
      <rPr>
        <b/>
        <sz val="12"/>
        <color rgb="FFFF0000"/>
        <rFont val="David"/>
      </rPr>
      <t>מסחריות</t>
    </r>
    <r>
      <rPr>
        <sz val="12"/>
        <color theme="1"/>
        <rFont val="David"/>
      </rPr>
      <t xml:space="preserve"> ללקוחות / שנתתי</t>
    </r>
  </si>
  <si>
    <t>מלאי לתחילת השנה</t>
  </si>
  <si>
    <t>קניות בניכוי הנחות והחזרות</t>
  </si>
  <si>
    <t>מלאי לתום השנה</t>
  </si>
  <si>
    <t>מלאי פתיחה + קניות</t>
  </si>
  <si>
    <t>400-120=280</t>
  </si>
  <si>
    <t>״קניות״</t>
  </si>
  <si>
    <t xml:space="preserve">כל הנחה שאיננה הנחת מזומן. זכרו: הנחות מזומן הן בהוצאות / הכנסות מימון, </t>
  </si>
  <si>
    <t>ואינן חלק מעלות המכירות / רווח גולמי.</t>
  </si>
  <si>
    <t>קניות ״ברוטו״</t>
  </si>
  <si>
    <t>בניכוי החזרות לספקים</t>
  </si>
  <si>
    <t>בניכוי הנחות מסחריות מספקים</t>
  </si>
  <si>
    <t>בניכוי מלאי סגירה</t>
  </si>
  <si>
    <t>הכנסות +</t>
  </si>
  <si>
    <t xml:space="preserve">ח. הפקדון הבנקאי מסעיף (ז) לזמן קצר נפרע בסכום כולל של 16,000 ש״ח (קרן וריבית יחד). </t>
  </si>
  <si>
    <t>עלייה בנכס המזומן</t>
  </si>
  <si>
    <t>עלייה בנכס לקוחות</t>
  </si>
  <si>
    <t>עלייה בהון העצמי</t>
  </si>
  <si>
    <t>בעסקה זו, שולמו הוצאות חשמל במזומן בסך 5,000 ש״ח. ההוצאה מקטינה את ההון העצמי (חובה הוצאה)</t>
  </si>
  <si>
    <t>המזומן שהוא נכס קטן באותו סכום (זכות מזומן)</t>
  </si>
  <si>
    <t>בדיוק כמו סעיף ה, רק ששם ההוצאה שונה (הוצאות תפעוליות במקום הוצאות חשמל)</t>
  </si>
  <si>
    <t>כנתון: החברה הגדילה נכס שנקרא פיקדון לזמן קצר (נכסים גדלים בחובה)</t>
  </si>
  <si>
    <t>החברה הקטינה את נכס המזומן (נכסים קטנים בזכות)</t>
  </si>
  <si>
    <t>בעסקה מתואר שהתקבל מזומן (גידול במזומן, חובה) בסך 16,000</t>
  </si>
  <si>
    <t>כמו כן מתואר שהפקדון הוקטן (נפרע) - קיטון בנכס פקדון, זכות, בסך 15,000</t>
  </si>
  <si>
    <t>כמו כן, נוצרו הכנסות ריבית, שמגדילות את ההון - זכות, בסך 1,000</t>
  </si>
  <si>
    <t>עלייה בהתחייבות (דיבידנד לשלם) נרשמת בזכות</t>
  </si>
  <si>
    <t>ירידה בעודפים (חלק מההון העצמי) נרשמת בחובה</t>
  </si>
  <si>
    <t>נושא על: הכרה בהכנסות ובהוצאות - כולל רישומי התאמה / חשבונות חתך</t>
  </si>
  <si>
    <t>תהליך חשבונאי - תכל׳ס מה עושים:</t>
  </si>
  <si>
    <r>
      <t xml:space="preserve">א. רישום בסיסי של ההכנסה / ההוצאה </t>
    </r>
    <r>
      <rPr>
        <u/>
        <sz val="12"/>
        <color theme="1"/>
        <rFont val="David"/>
      </rPr>
      <t>ברמת הנהלת החשבונות</t>
    </r>
    <r>
      <rPr>
        <sz val="12"/>
        <color theme="1"/>
        <rFont val="David"/>
      </rPr>
      <t xml:space="preserve"> - לפי עיתוי האסמכתא (להנחתנו, </t>
    </r>
    <r>
      <rPr>
        <u/>
        <sz val="12"/>
        <color theme="1"/>
        <rFont val="David"/>
      </rPr>
      <t>עיתוי זרימת המזומן</t>
    </r>
    <r>
      <rPr>
        <sz val="12"/>
        <color theme="1"/>
        <rFont val="David"/>
      </rPr>
      <t>).</t>
    </r>
  </si>
  <si>
    <t>סכום הכנסה</t>
  </si>
  <si>
    <t>פקודה</t>
  </si>
  <si>
    <t>בהנהלת</t>
  </si>
  <si>
    <t>לפי: מזומן</t>
  </si>
  <si>
    <t>בפועל</t>
  </si>
  <si>
    <t>סופי</t>
  </si>
  <si>
    <t>לפי: שווי</t>
  </si>
  <si>
    <t>שני חלקים:</t>
  </si>
  <si>
    <t>סוכמים את המזומן (במצטבר)</t>
  </si>
  <si>
    <t>סוכמים את סך השירות (במצטבר)</t>
  </si>
  <si>
    <t>תבנית עבודה ברמה גבוהה מאד - לפני תרגול עצמי - הפרשי חתך בשאלות העוסקות בהכנסה:</t>
  </si>
  <si>
    <t>חשבונות (1)</t>
  </si>
  <si>
    <t>בדוח (2)</t>
  </si>
  <si>
    <r>
      <rPr>
        <sz val="12"/>
        <color theme="0"/>
        <rFont val="David"/>
      </rPr>
      <t>,</t>
    </r>
    <r>
      <rPr>
        <sz val="12"/>
        <color theme="1"/>
        <rFont val="David"/>
      </rPr>
      <t>(4)</t>
    </r>
  </si>
  <si>
    <r>
      <rPr>
        <sz val="12"/>
        <color theme="0"/>
        <rFont val="David"/>
      </rPr>
      <t>,</t>
    </r>
    <r>
      <rPr>
        <sz val="12"/>
        <color theme="1"/>
        <rFont val="David"/>
      </rPr>
      <t>(3)</t>
    </r>
  </si>
  <si>
    <t>ח׳ הכנסות 10
ז׳ הכנסות לקבל 10</t>
  </si>
  <si>
    <t>תקבול (מזומן)</t>
  </si>
  <si>
    <t>ח׳ מזומן 170
ז׳ הכנסות 170</t>
  </si>
  <si>
    <t>ח׳ מזומן 20
ז׳ הכנסות 20</t>
  </si>
  <si>
    <t>ח׳ מזומן 40
ז׳ הכנסות 40</t>
  </si>
  <si>
    <t>ח׳ מזומן 770
ז׳ הכנסות 770</t>
  </si>
  <si>
    <t>הכנסות מראש 70</t>
  </si>
  <si>
    <t>הכנסות לקבל 110</t>
  </si>
  <si>
    <t>הכנסות לקבל 370</t>
  </si>
  <si>
    <t>אין יתרת חתך :)</t>
  </si>
  <si>
    <t>ח׳ הכנסות 70
ז׳ הכנסות מראש 70</t>
  </si>
  <si>
    <t>ח׳ הכנסות מראש 70
ח׳ הכנסות לקבל 110
ז׳ הכנסות 180</t>
  </si>
  <si>
    <t>ח׳ הכנסות לקבל 260
ז׳ הכנסות 260</t>
  </si>
  <si>
    <t>ח׳ הכנסות 370
ז׳ הכנסות לקבל 370</t>
  </si>
  <si>
    <t>נדרש - השלימו את הטבלה הבאה (א) מהן פקודות היומן שנרשמו בהנהלת חשבונות (ב) מהי ההוצאה ברווח והפסד (ג) מהי פקודת החתך</t>
  </si>
  <si>
    <t>וכן (ד) מהי יתרת החתך לתום כל אחת מהשנים 2016 - 2020.</t>
  </si>
  <si>
    <t xml:space="preserve">בשאלה זו דנים בהוצאות (למה הוצאות ולא הכנסות? כי החברה משלמת / צורכת שירות). </t>
  </si>
  <si>
    <t>ח׳ הוצאות 320
ז׳ מזומן 320</t>
  </si>
  <si>
    <t>ח׳ הוצאות 110
ז׳ מזומן 110</t>
  </si>
  <si>
    <t>ח׳ הוצאות 70
ז׳ מזומן 70</t>
  </si>
  <si>
    <t>ח׳ הוצאות 80
ז׳ מזומן 80</t>
  </si>
  <si>
    <t>ח׳ הוצאות 460
ז׳ מזומן 460</t>
  </si>
  <si>
    <t>פקודת היומן בהנה״ח (הנהלת חשבונות) לפי מזומן תמיד תהיה: ח׳ הוצאות , ז׳ מזומן</t>
  </si>
  <si>
    <t xml:space="preserve">ההוצאה בדוח רווח והפסד = שווי הפעילות (ללא פקודה, הסכום עצמו). </t>
  </si>
  <si>
    <t>יתרת חתך / התחשבנות: ״מי חייב למי״:</t>
  </si>
  <si>
    <t>בתום כל שנה:</t>
  </si>
  <si>
    <t>סוכם את כל המזומן ששולם עד לאותה נקודה</t>
  </si>
  <si>
    <t>סוכם את כל השירות שנצרך (הוצאה) עד לאותה נקודה</t>
  </si>
  <si>
    <t>y</t>
  </si>
  <si>
    <t>x &gt; y</t>
  </si>
  <si>
    <t>הוצאות מראש (נכס)</t>
  </si>
  <si>
    <t>x - y</t>
  </si>
  <si>
    <t>y &gt; x</t>
  </si>
  <si>
    <t>הוצאות לשלם (התחייבות)</t>
  </si>
  <si>
    <t>y - x</t>
  </si>
  <si>
    <t xml:space="preserve">ג. החברה ב-2022 חתמה עם לקוח על הסכם לביצוע פרויקט שתמורתו הכוללת היא 800,000 ש״ח. </t>
  </si>
  <si>
    <t>הכנסות מראש (התחייבות)</t>
  </si>
  <si>
    <t>הכנסות לקבל (נכס)</t>
  </si>
  <si>
    <t>בשונה מסעיף א, שבו היה אירוע ״חדש״ שהחל ב-2022, ולכן פתרתי אותו כנדרש רק עבור 2022, כאן מדובר באירוע</t>
  </si>
  <si>
    <t>ישן, שהחל ב-2020. במצב כזה, ארצה להציג גם את ההשתלשלות  ההיסטורית (שנים קודמות) כדי להבין טוב יותר מה קרה.</t>
  </si>
  <si>
    <t>לא נתון מהו היקף השירות שנצרך בכל שנה;</t>
  </si>
  <si>
    <t>נעבוד לפי ברירת המחדל: שווי כולל של הסכם</t>
  </si>
  <si>
    <t>בחלוקה למספר השנים:</t>
  </si>
  <si>
    <t xml:space="preserve">120,000 / 4 = </t>
  </si>
  <si>
    <t>הוצאות מראש
נכס</t>
  </si>
  <si>
    <t>ח׳ הוצאות מראש 90
ז׳ הוצאות 90</t>
  </si>
  <si>
    <t>ז׳ הוצאות מראש 30
ח׳ הוצאות 30</t>
  </si>
  <si>
    <t>השנה 
הנדרשת!!!</t>
  </si>
  <si>
    <t>שאלה 4 - שאלה במתכונת ״רגילה״ על צד ההוצאות, כולל ״היפוך״ סוג יתרת החתך</t>
  </si>
  <si>
    <t xml:space="preserve">חברת ״ירין והנקניקים״ בע״מ חתמה על הסכם לצריכת שירותים מחברת ״אריאל ניזרי״ בע״מ. </t>
  </si>
  <si>
    <t>להלן נתונים בדבר סכומי התשלומים שבוצעו במזומן החל משנת חתימת ההסכם 2016 ועד לשנת 2021, וכן נתונים בדבר</t>
  </si>
  <si>
    <t>היקף השירות שצרכה חברת ״ירין והנקניקים״ בע״מ בכל אחת משנים אלו.</t>
  </si>
  <si>
    <t>סכום תשלום</t>
  </si>
  <si>
    <t xml:space="preserve">א. מהו סכום ההוצאה שתרשום חברת ״ירין״ ברמת הנהלת החשבונות בכל אחת מהשנים? ציינו פקודת יומן רלוונטית לרישום </t>
  </si>
  <si>
    <t>ההוצאה בהנהלת החשבונות.</t>
  </si>
  <si>
    <t>ב. מהו סכום ההוצאה הסופי כפי שייכלל בדוח רווח והפסד של החברה לכל אחת מהשנים?</t>
  </si>
  <si>
    <t>ג. מהי פקודת ההתאמה שתירשם בכל אחת מהשנים?</t>
  </si>
  <si>
    <t>ד. מהי יתרת החתך לתום כל אחת מהשנים? הקפידו לציין את שם היתרה, האם מדובר בנכס / התחייבות ואת הסכום העדכני</t>
  </si>
  <si>
    <t>לתום כל שנה.</t>
  </si>
  <si>
    <t xml:space="preserve">למרות שהנדרש מחולק למספר סעיפים, אין שום בעיה להשיב עליהם יחד בטבלה המרכזית / גיליון העבודה שלמדנו. </t>
  </si>
  <si>
    <t>פקודה הנה״ח</t>
  </si>
  <si>
    <t>ח׳ הוצאות 100
ז׳ מזומן 100</t>
  </si>
  <si>
    <t>ח׳ הוצאות 300
ז׳ מזומן 300</t>
  </si>
  <si>
    <t>ח׳ הוצאות 1300
ז׳ מזומן 1300</t>
  </si>
  <si>
    <t>הוצאה לפי 
שירות</t>
  </si>
  <si>
    <t xml:space="preserve">הוצאות לשלם (התחייבות) </t>
  </si>
  <si>
    <t xml:space="preserve">הוצאות מראש (נכס) </t>
  </si>
  <si>
    <t>בפקודת ההתאמה, עלינו. להזהר:</t>
  </si>
  <si>
    <t>א. אם לא היתה יתרת חתך לפני השנה הזו, או שהיתה יתרת חתך ״מאותו סוג״, אז הפקודה פשוטה: להגדיל או להקטין את היתרה בהתאם.</t>
  </si>
  <si>
    <t>ב. אם היתה יתרת חתך בשנה קודמת מסוג ״שונה״ (למשל: בשנה קודמת הוצאה מראש, וכעת הוצאה לשלם) אז הפקודה מורכבת.</t>
  </si>
  <si>
    <t>היא תכלול:</t>
  </si>
  <si>
    <t>ב.1. איפוס היתרה של שנה קודמת</t>
  </si>
  <si>
    <t>ב.2. רישום / יצירת היתרה העדכנית של השנה הנוכחית</t>
  </si>
  <si>
    <t>ח׳ הוצאות מראש 100
ז׳ הוצאות 100</t>
  </si>
  <si>
    <t>ז׳ הוצאות מראש 100
ז׳ הוצאות לשלם 600
ח׳ הוצאות 700</t>
  </si>
  <si>
    <t>ז׳ הוצאות לשלם 600
ח׳ הוצאות 600</t>
  </si>
  <si>
    <t>ח׳ הוצאות לשלם 300
ז׳ הוצאות 300</t>
  </si>
  <si>
    <t>ח׳ הוצאות לשלם 900
ח׳ הוצאות מראש 100
ז׳ הוצאות 1,000</t>
  </si>
  <si>
    <t>ז׳ הוצאות מראש 100
ח׳ הוצאות 100</t>
  </si>
  <si>
    <t>שאלה 5 - שאלה אמיתית ממבחן</t>
  </si>
  <si>
    <t>הנה״ח</t>
  </si>
  <si>
    <t>הכנסה סופית</t>
  </si>
  <si>
    <t>לפי</t>
  </si>
  <si>
    <t>המזומן</t>
  </si>
  <si>
    <t>שהתקבל</t>
  </si>
  <si>
    <t>ספציפית</t>
  </si>
  <si>
    <t>בשנה</t>
  </si>
  <si>
    <t>הנדונה</t>
  </si>
  <si>
    <t xml:space="preserve">שווי </t>
  </si>
  <si>
    <t>השירות</t>
  </si>
  <si>
    <t>שסופק</t>
  </si>
  <si>
    <t>בשנה הנדונה</t>
  </si>
  <si>
    <t xml:space="preserve">לפי ההפרשים בין סך התקבולים (כסף </t>
  </si>
  <si>
    <t>שקיבלתי) לבין סך השירות שסיפקתי</t>
  </si>
  <si>
    <t>במצטבר (או להפך):</t>
  </si>
  <si>
    <t>אם סיפקתי המון וקיבלתי מעט = הכנסות לקבל (נכס)</t>
  </si>
  <si>
    <t>אם סיפקתי מעט וקיבלתי המון = הכנסות מראש (התחייבות)</t>
  </si>
  <si>
    <t>ח׳ מזומן 170
ז׳ הכנסה 170</t>
  </si>
  <si>
    <t>ח׳ מזומן 600
ז׳ הכנסה 600</t>
  </si>
  <si>
    <t>הסבר ל-2023:</t>
  </si>
  <si>
    <t>סך השירות שסיפקנו בכל השנים יחד</t>
  </si>
  <si>
    <t>סך המזומן שקיבלנו לא כולל 2023</t>
  </si>
  <si>
    <t>לכן, המזומן שקיבלנו ב-2023 שמשלים לסך השירות הוא:</t>
  </si>
  <si>
    <t xml:space="preserve">100 + 200 + 300 + 400 = </t>
  </si>
  <si>
    <t xml:space="preserve">80 + 170 + 600 = </t>
  </si>
  <si>
    <t xml:space="preserve">1000 - 850 = </t>
  </si>
  <si>
    <t>ח׳ מזומן 150
ז׳ הכנסה 150</t>
  </si>
  <si>
    <t>ח׳ הכנסות לקבל 20
ז׳ הכנסות 20</t>
  </si>
  <si>
    <t>ז׳ הכנסות לקבל 50
ז׳ הכנסות מראש 250
ח׳ הכנסות 300</t>
  </si>
  <si>
    <t>ח׳ הכנסות לקבל 30
ז׳ הכנסות 30</t>
  </si>
  <si>
    <t>ח׳ הכנסות מראש 250
ז׳ הכנסות 250</t>
  </si>
  <si>
    <t>הוצאות הלח״מ (הוצאות הפרשה לחומ״ס)</t>
  </si>
  <si>
    <t>בתאריך 1.1.2012, מהו הסכום נטו שבו תוצג המכונה במאזן לימים 31.12.2012, 31.12.2013, 31.12.2014, בהינתן</t>
  </si>
  <si>
    <t>ששיטת הפחת היא ״הקו הישר״.</t>
  </si>
  <si>
    <t>מכונת יוקרה לחימום נקניק: 100,000 ש״ח</t>
  </si>
  <si>
    <t>הוצאות הפחת הן הוצאה שנרשמת בדוח רווח והפסד בכל שנת דיווח.</t>
  </si>
  <si>
    <t>המכונה מופחתת בשיטת הקו הישר.</t>
  </si>
  <si>
    <t>המחיר הרגיל:</t>
  </si>
  <si>
    <t>המחיר ״שלנו״ מבצע:</t>
  </si>
  <si>
    <t>Black Friday</t>
  </si>
  <si>
    <t xml:space="preserve">בחלוף 4 וחצי שנים ממועד הרכישה - 1/7/2017, בעקבות הרעלות קיבה מרובות </t>
  </si>
  <si>
    <r>
      <t xml:space="preserve">והפכה לזמינה לשימוש ב-1.5.2013. </t>
    </r>
    <r>
      <rPr>
        <b/>
        <sz val="12"/>
        <color theme="1"/>
        <rFont val="David"/>
      </rPr>
      <t>ערך השייר / הגרט: 10,000 ש״ח.</t>
    </r>
  </si>
  <si>
    <t>מה פשרו של ה״10,000״? ערך השייר / הגרט שמפחיתים מהמונה מוגדר בתור השווי הצפוי לפריט בתום</t>
  </si>
  <si>
    <t xml:space="preserve">כשהפריט יסיים את כל חייו (את כל 10 השנים) הוא 10,000. </t>
  </si>
  <si>
    <r>
      <t xml:space="preserve">לגבי שנת </t>
    </r>
    <r>
      <rPr>
        <b/>
        <sz val="12"/>
        <color rgb="FF0070C0"/>
        <rFont val="David"/>
      </rPr>
      <t>2014</t>
    </r>
    <r>
      <rPr>
        <sz val="12"/>
        <color theme="1"/>
        <rFont val="David"/>
      </rPr>
      <t>: הפריט היה בחברה, זמין לשימוש, שנה שלמה. לכן הוצאות הפחת מתאימות לשנה שלמה: 15,500.</t>
    </r>
  </si>
  <si>
    <t>לבית</t>
  </si>
  <si>
    <t>שאלה 4 - רכוש קבוע, קו ישר</t>
  </si>
  <si>
    <t>שאלה 5 - רכוש קבוע, קו ישר</t>
  </si>
  <si>
    <t>תת נושא ראשון - הוצאות פחת ופחת נצבר בשיטת הקו הישר</t>
  </si>
  <si>
    <t>תת נושא שני - הוצאות פחת ופחת נצבר סס״י - סכום ספרות יורד</t>
  </si>
  <si>
    <t xml:space="preserve">השיטה הנפוצה ביותר לחישוב הוצאות הפחת שהוצגה קודם היא שיטת פחת שנקראת ״קו ישר״. </t>
  </si>
  <si>
    <t>שיטה זו מניחה שהפחת בכל שנה קבוע, והיא השיטה הנפוצה ביותר בתעשייה.</t>
  </si>
  <si>
    <t>אבל מה קורה אם הוצאות הפחת אינן קבועות? כשחברה, למשל, מנהלת את צי המכוניות כאשר המכוניות החדשות</t>
  </si>
  <si>
    <t>נשלחות למשלוחים רחוקים, והמכוניות הישנות הן במשלוחים קרוב לעיר?</t>
  </si>
  <si>
    <t>עבור מצבים שבהם נרצה להכיר בהוצאות פחת גבוהות בשנים הראשונות ובהוצאות פחת נמוכות יותר בשנים הבאות,</t>
  </si>
  <si>
    <t xml:space="preserve">נציג שיטת פחת נוספת שנקראת ״סכום ספרות יורד״ ובקיצור - סס״י. </t>
  </si>
  <si>
    <t>שאלה 6 - רכוש קבוע, ששון הקולה</t>
  </si>
  <si>
    <t xml:space="preserve">להלן נתוני מכונה שרכש אריאל עבור חברה שבה הוא </t>
  </si>
  <si>
    <t>עובד. הוא שילם גם על משלוח ובנוסף שילם מע״מ</t>
  </si>
  <si>
    <t>בשיעור 17% (על עלות הרכישה בלבד).</t>
  </si>
  <si>
    <t>סכום המע״מ מוחזר לחברה.</t>
  </si>
  <si>
    <t xml:space="preserve">המכונה נרכשה ב-1.1.2020 ונהג שז״ם החרוץ </t>
  </si>
  <si>
    <t>הוביל אותה לחברה מיד באותו היום.</t>
  </si>
  <si>
    <t>החברה צופה שבשנים הראשונות העובדים יחממו</t>
  </si>
  <si>
    <t>נקניק בטירוף, ובשנים לאחר מכן יירגעו.</t>
  </si>
  <si>
    <t>לכן היא מפחיתה את המכונה בשיטת סכום ספרות</t>
  </si>
  <si>
    <t>יורד, על פני 6 שנים, וערך השייר (גרט) הוא 690 ש״ח.</t>
  </si>
  <si>
    <t xml:space="preserve">נדרש: הציגו את העלות, הפחת הנצבר והעלות המופחתת לתום כל אחת מהשנים 2020-2023. </t>
  </si>
  <si>
    <t>ואת הוצאות הפחת לכל אחת משנים אלו.</t>
  </si>
  <si>
    <t>ראשית נרצה לדעת מה כוללת עלות המכונה:</t>
  </si>
  <si>
    <t>עלות רכישה</t>
  </si>
  <si>
    <t>מע״מ</t>
  </si>
  <si>
    <t>לא נכלל, כי כנתון מקבלים חזרה</t>
  </si>
  <si>
    <t>נהג שז״ם</t>
  </si>
  <si>
    <t>סך העלות</t>
  </si>
  <si>
    <t>פחנ״צ = פחת נצבר</t>
  </si>
  <si>
    <t>שלבי העבודה בחישוב הוצאות פחת - סכום ספרות יורד:</t>
  </si>
  <si>
    <t>שלב 1: חשבו ״סכום ספרות״</t>
  </si>
  <si>
    <t>SD</t>
  </si>
  <si>
    <t>סכום ספרות Sum of Digits</t>
  </si>
  <si>
    <t>תקופת ההפחתה של הנכס בשנים</t>
  </si>
  <si>
    <t>שלב 2: הקצאת ספרות לכל שנת חיים, בסדר יורד</t>
  </si>
  <si>
    <t>שנת חיים ראשונה</t>
  </si>
  <si>
    <t>שנה שנייה</t>
  </si>
  <si>
    <t>שנה שלישית</t>
  </si>
  <si>
    <t>שנה רביעית</t>
  </si>
  <si>
    <t>n = 6</t>
  </si>
  <si>
    <t xml:space="preserve">לשנת החיים הראשונה נקצה ספרה שזהה לאורך חיי הנכס, ולכל שנה עוקבת נקצה ספרה הקטנה </t>
  </si>
  <si>
    <t>יותר ביחידה אחת:</t>
  </si>
  <si>
    <t>n-1=5</t>
  </si>
  <si>
    <t>n-2=4</t>
  </si>
  <si>
    <t>שלב 3: חישוב הפחת השנתי</t>
  </si>
  <si>
    <r>
      <t xml:space="preserve">לפי העלות בניכוי הגרט / שייר, כפול </t>
    </r>
    <r>
      <rPr>
        <b/>
        <sz val="12"/>
        <color theme="1"/>
        <rFont val="David"/>
      </rPr>
      <t>היחס</t>
    </r>
    <r>
      <rPr>
        <sz val="12"/>
        <color theme="1"/>
        <rFont val="David"/>
      </rPr>
      <t xml:space="preserve"> בין הספרה לשנה הרלוונטית לבין סכום הספרות SD. </t>
    </r>
  </si>
  <si>
    <t>שאלה 7 - רכוש קבוע, אריאל 2</t>
  </si>
  <si>
    <t>צילום אילוסטרציה: אריאל בעבודה</t>
  </si>
  <si>
    <t>אריאל רכש מכונה לייצור נקניק בעלות של 5,000,000 ש״ח.</t>
  </si>
  <si>
    <t>המכונה הגיעה לחברה ב-1.1.2018 אבל הפכה לזמינה לשימוש ב-1.4.2018.</t>
  </si>
  <si>
    <t xml:space="preserve">אורך החיים השימושיים של המכונה לייצור נקניק הוא 10 שנים, </t>
  </si>
  <si>
    <t>וערך השייר / הגרט שלה הוא 800,000 ש״ח.</t>
  </si>
  <si>
    <t>החברה מפחיתה את המכונה לחימום נקניק בשיטת סס״י (סכום ספרות</t>
  </si>
  <si>
    <t xml:space="preserve">יורד). </t>
  </si>
  <si>
    <t xml:space="preserve">נדרש: חשבו והציגו את העלות, הפחת הנצבר, העלות המופחתת והוצאות הפחת עבור השנים 2018, 2019, 2020. </t>
  </si>
  <si>
    <t xml:space="preserve">פחת נצבר </t>
  </si>
  <si>
    <t>הוצאות פחת:</t>
  </si>
  <si>
    <t xml:space="preserve">אורך החיים של הנכס: 10 שנים כנתון. </t>
  </si>
  <si>
    <t>נוסחת סכום הספרות:</t>
  </si>
  <si>
    <t>n * (n + 1) / 2 = 10 * 11 / 2 = 55</t>
  </si>
  <si>
    <t>n = 10</t>
  </si>
  <si>
    <t>שאלה 1 - רכוש קבוע - המשך יישום שיטות פחת שונות - כולל מקרה הקרקע ועלויות נלוות</t>
  </si>
  <si>
    <t>חברת ״ראלי״ בע״מ רכשה שני פריטי רכוש קבוע:</t>
  </si>
  <si>
    <t>סכום של 20,000 ש״ח, עבור התקנתה בחברה 10,000 ש״ח, וכן שלחה את העובדים להשתלמות והכשרה מקצועית</t>
  </si>
  <si>
    <t>בתחום חימום הנקניק בעלות של 35,000 ש״ח. עלויות ההפעלה והאחזקה השנתיות של המכונה: 10,000 ש״ח לשנה.</t>
  </si>
  <si>
    <t>ב. מבנה אשפוז: כדי לאכלס את העובדים שחלו מאכילת נקניק כל היום, רכשה החברה מבנה בעלות של 500,000 ש״ח.</t>
  </si>
  <si>
    <t>מתוך עלות המבנה הכוללת, חלק של 20% מיוחס לקרקע.</t>
  </si>
  <si>
    <t>שיטת ההפחתה: קו ישר. ערך שייר / גרט: 0. מועד הזמינות לשימוש: 1.3.2018. תקופת ההפחתה: 5 שנים.</t>
  </si>
  <si>
    <t>בתאריך 1.4.2022 נמכרה המכונה בתמורה ל-24,000 ש״ח.</t>
  </si>
  <si>
    <t>שיטת ההפחתה: סכום ספרות. מועד הזמינות לשימוש: 1.9.2018. תקופת ההפחתה: 20 שנים.</t>
  </si>
  <si>
    <t>בתאריך 1.8.2022 נמכר המבנה, כך שרווח ההון שנוצר במכירה הסתכם ב-14,000 ש״ח.</t>
  </si>
  <si>
    <t xml:space="preserve">א. חשבו את הוצאות הפחת לכל אחת מהשנים 2018-2022 (בגין כל פריט בנפרד, וסה״כ). </t>
  </si>
  <si>
    <t xml:space="preserve">ב. הציגו את העלות המופחתת (עלות בניכוי פחת נצבר) לתום כל אחת מהשנים 2018-2022. </t>
  </si>
  <si>
    <t>פתרון</t>
  </si>
  <si>
    <t>מכונת נקניק:</t>
  </si>
  <si>
    <t>ראשית, עלינו לגלות את עלות רכישת הפריט: ועלות רכוש קבוע תכלול את כל העלויות החיוניות להבאת הפריט</t>
  </si>
  <si>
    <t>עלויות הכשרת עובדים לתפעול מכונה - אינן חלק מעלות המכונה; וזאת הואיל ועובדים אינם</t>
  </si>
  <si>
    <t xml:space="preserve">נכס של החברה, אינם חלק מהקניין שלה (החברה לא ״שולטת״ בהם, אלו בני אדם, לא חפצים). </t>
  </si>
  <si>
    <t>עלות הפעלה ואחזקה - אלו הן העלויות שימוש שוטפות לאחר שהפריט כבר מוכן לעבודה (בדומה לדלק,</t>
  </si>
  <si>
    <t>חשמל וכיוצא בזה) ולכן מהוות הוצאות בפני עצמן ולא חלק מעלות הנכס.</t>
  </si>
  <si>
    <t>סך עלות</t>
  </si>
  <si>
    <t>תחילת ההפחתה (זמינות לשימוש) 1.3.2018:</t>
  </si>
  <si>
    <t xml:space="preserve">D(2018) = [(80,000 - 0)/5] * 10/12 = </t>
  </si>
  <si>
    <t xml:space="preserve">D(2019) = 80,000/5 = </t>
  </si>
  <si>
    <t xml:space="preserve">D(2020) = 80,000/5 = </t>
  </si>
  <si>
    <t xml:space="preserve">D(2021) = 80,000/5 = </t>
  </si>
  <si>
    <t>נעבור לטפל באופן הצגת העלות המופחתת של הפריט וכן בטיפול במכירתו:</t>
  </si>
  <si>
    <t>עזר</t>
  </si>
  <si>
    <t>לאחר המכירה</t>
  </si>
  <si>
    <t xml:space="preserve">הוצ׳ פחת </t>
  </si>
  <si>
    <t xml:space="preserve">24,000 - 9,333 = </t>
  </si>
  <si>
    <t>מבנה אשפוז</t>
  </si>
  <si>
    <r>
      <t xml:space="preserve">שיטת ההפחתה: </t>
    </r>
    <r>
      <rPr>
        <b/>
        <sz val="12"/>
        <color theme="1"/>
        <rFont val="David"/>
      </rPr>
      <t>סכום ספרות</t>
    </r>
    <r>
      <rPr>
        <sz val="12"/>
        <color theme="1"/>
        <rFont val="David"/>
      </rPr>
      <t>. מועד הזמינות לשימוש: 1.9.2018. תקופת ההפחתה: 20 שנים.</t>
    </r>
  </si>
  <si>
    <t>תחילה, נחשב את סכום הספרות עצמו:</t>
  </si>
  <si>
    <t xml:space="preserve">n * (n + 1) / 2 = 20 * (20 + 1) / 2 = </t>
  </si>
  <si>
    <t>נקצה את הספרות לפי שנות החיים של הנכס:</t>
  </si>
  <si>
    <t>נחשב את הוצאות הפחת עבור כל שנה:</t>
  </si>
  <si>
    <t>טיפ חשוב: קרקע תמיד מטופלת כערך גרט / שייר הואיל ואיננה נשחקת / מתבלה.</t>
  </si>
  <si>
    <t>במקרה זה, רכיב הקרקע המהווה גרט הוא 20% מהעלות כנתון, כלומר:</t>
  </si>
  <si>
    <t xml:space="preserve">20% * 500,000 = 100,000 </t>
  </si>
  <si>
    <t xml:space="preserve">D(2018) = (500,000 - 100,000) * (20 * 4/12)/210 = </t>
  </si>
  <si>
    <t>גרט (קרקע)</t>
  </si>
  <si>
    <t>הספרה,</t>
  </si>
  <si>
    <t>חלק יחסי</t>
  </si>
  <si>
    <t>סכום</t>
  </si>
  <si>
    <t xml:space="preserve">D(2019) = (500,000 - 100,000) * [(20 * 8/12) + (19 * 4/12)] / 210 = </t>
  </si>
  <si>
    <t xml:space="preserve">D(2020) = (500,000 - 100,000) * [(19 * 8/12) + (18 * 4/12)] / 210 = </t>
  </si>
  <si>
    <t xml:space="preserve">D(2021) = (500,000 - 100,000) * [(18 * 8/12) + (17 * 4/12)] / 210 = </t>
  </si>
  <si>
    <t xml:space="preserve">D(2021) = (500,000 - 100,000) * (17 * 7/12) / 210 = </t>
  </si>
  <si>
    <t>הפריט נמכר ב-1.8.2022 (7 חודשים לאחר תחילת השנה):</t>
  </si>
  <si>
    <t>נציג את העלות המופחתת:</t>
  </si>
  <si>
    <t>למרות שבשאלה זו רווח ההון נתון לגבי המבנה, חשוב לדעת כיצד לחשבו גם עבור פריטים שנמדדים בסכום ספרות.</t>
  </si>
  <si>
    <t>אופן החישוב זהה לגמרי: על בסיס ההפרש בין התמורה לבין העלות המופחתת ערב המכירה (עמודת עזר):</t>
  </si>
  <si>
    <t>רווח ההון</t>
  </si>
  <si>
    <t xml:space="preserve"> x</t>
  </si>
  <si>
    <t xml:space="preserve">x - 361,746 = </t>
  </si>
  <si>
    <t>וניתן (אם דורשים, יכול לקרות בבחינה) לחלץ את התמורה בסך של:</t>
  </si>
  <si>
    <t>פחת מכונה</t>
  </si>
  <si>
    <t>פחת מבנה</t>
  </si>
  <si>
    <t>סך הוצ׳ פחת</t>
  </si>
  <si>
    <t>עלות מכונה</t>
  </si>
  <si>
    <t>פחנ״צ מבנה</t>
  </si>
  <si>
    <t>פחנ״צ מכונה</t>
  </si>
  <si>
    <t>עלות מבנה</t>
  </si>
  <si>
    <t>הוצ׳ פחת</t>
  </si>
  <si>
    <t>ב. סך עלות מופחתת של כל סוגי הפריטים</t>
  </si>
  <si>
    <t>תת נושא חדש - פקודות יומן למתן ביטוי להוצאות פחת, לקניה ולמכירה של פריטי רכוש קבוע</t>
  </si>
  <si>
    <t>פקודת יומן ברכישת רכוש קבוע:</t>
  </si>
  <si>
    <t>ח׳ מכונה לחימום נקניק (רכוש קבוע - עלות)</t>
  </si>
  <si>
    <t>XXXX</t>
  </si>
  <si>
    <t>פקודת יומן למתן ביטוי להוצאות פחת:</t>
  </si>
  <si>
    <t>ז׳ פחת נצבר</t>
  </si>
  <si>
    <t>כי הוצאות נרשמות בחובה</t>
  </si>
  <si>
    <t>פחת נצבר מקטין את הנכס! קיטון בנכס הוא בזכות</t>
  </si>
  <si>
    <t>פקודת יומן למכירת רכוש קבוע:</t>
  </si>
  <si>
    <t>ז׳ מזומן (או אמצעי תשלום אחר)</t>
  </si>
  <si>
    <t>ז׳ מכונה לחימום נקניק (רכוש קבוע - עלות)</t>
  </si>
  <si>
    <t>YYYY</t>
  </si>
  <si>
    <t>קיטון בנכס הרכוש הקבוע הנמכר</t>
  </si>
  <si>
    <t>ח׳ פחת נצבר</t>
  </si>
  <si>
    <t>ZZZZ</t>
  </si>
  <si>
    <t>פחת נצבר כותבים בזכות, אך ברגע שרוצים לאפס אותו, כי הפריט נמכר - רושמים חובה</t>
  </si>
  <si>
    <t>ז׳ רווח הון או:</t>
  </si>
  <si>
    <t>OOOO</t>
  </si>
  <si>
    <t>PPPP</t>
  </si>
  <si>
    <t>כי רווח הוא סוג של הכנסה, והכנסות הן בזכות</t>
  </si>
  <si>
    <t>כי הפסד הוא סוג של הוצאה, והוצאות הן בחובה</t>
  </si>
  <si>
    <t>שאלה 2 - רכוש קבוע - עבור פקודות יומן</t>
  </si>
  <si>
    <t>חברה רכשה מכונה לחיתוך נקניק ב-1.1.2020 בעלות של 80,000 ש״ח.</t>
  </si>
  <si>
    <t xml:space="preserve">מכונת הנקניק זמינה לשימוש מיד במועד רכישתה, והיא מופחתת בשיטת </t>
  </si>
  <si>
    <t xml:space="preserve">הקו הישר על פני 8 שנים ללא ערך גרט / שייר. </t>
  </si>
  <si>
    <t>בתאריך 1.3.2022 נמכרה המכונה תמורת 37,000 ש״ח.</t>
  </si>
  <si>
    <t>נדרש: הציגו יתרות רלוונטיות (עלות מופחתת, הוצאות פחת, רווח / הפסד הון)</t>
  </si>
  <si>
    <t>ורשמו פקודות יומן מלאות למתן ביטוי להן בשנים המפורטות בשאלה.</t>
  </si>
  <si>
    <t>פקודה לרכישת מכונת חיתוך נקניק</t>
  </si>
  <si>
    <t>ח׳ מכונה לחיתוך נקניק (עלות)</t>
  </si>
  <si>
    <t>ז׳ מזומן</t>
  </si>
  <si>
    <t>פקודה לרישום הוצאות פחת</t>
  </si>
  <si>
    <t xml:space="preserve">80,000 / 8 = </t>
  </si>
  <si>
    <t xml:space="preserve">זכרו: פקודה לא מציגה ערך מצטבר; אלא את השינוי השנתי. לכן בכל שנה ושנה עד שיחול שינוי </t>
  </si>
  <si>
    <t>תירשם פקודה זהה.</t>
  </si>
  <si>
    <t xml:space="preserve">(80,000 / 8) * (2/12) = </t>
  </si>
  <si>
    <t>פקודה לרישום המכירה</t>
  </si>
  <si>
    <t>ז׳ מכונה לחיתוך נקניק - עלות</t>
  </si>
  <si>
    <t xml:space="preserve">10,000 + 10,000 + 1,667 = </t>
  </si>
  <si>
    <r>
      <t xml:space="preserve">כלומר, קובעים איזה חשבון מהווה נכס / התחייבות / הון / הכנסה / הוצאה, </t>
    </r>
    <r>
      <rPr>
        <b/>
        <u/>
        <sz val="12"/>
        <color theme="1"/>
        <rFont val="David"/>
      </rPr>
      <t>וכן משלימים ערכים חסרים</t>
    </r>
    <r>
      <rPr>
        <sz val="12"/>
        <color theme="1"/>
        <rFont val="David"/>
      </rPr>
      <t xml:space="preserve"> לפני</t>
    </r>
  </si>
  <si>
    <r>
      <t xml:space="preserve">ב. על בסיס רשימת הערכים, יש לטפל </t>
    </r>
    <r>
      <rPr>
        <b/>
        <sz val="12"/>
        <color theme="1"/>
        <rFont val="David"/>
      </rPr>
      <t>בתיקונים ובעדכונים מתבקשים</t>
    </r>
    <r>
      <rPr>
        <sz val="12"/>
        <color theme="1"/>
        <rFont val="David"/>
      </rPr>
      <t xml:space="preserve"> - ״פקודות יומן נוספות״ - בהתאם לנתונים</t>
    </r>
  </si>
  <si>
    <t>שלב 1: נמיין את היתרות הנתונות לנכסים / התחייבויות / הון / הכנסות / הוצאות</t>
  </si>
  <si>
    <t xml:space="preserve">עלות לבין שווי מימוש נטו (מחיר מכירה צפוי בניכוי עלויות השלמה ומכירה). </t>
  </si>
  <si>
    <r>
      <t xml:space="preserve">להיווצר לשם מכירתו הן 4 אלפי ש״ח. </t>
    </r>
    <r>
      <rPr>
        <b/>
        <sz val="12"/>
        <color theme="1"/>
        <rFont val="David"/>
      </rPr>
      <t>החברה מיישמת את עקרון מדידת המלאי לפי הנמוך מבין</t>
    </r>
  </si>
  <si>
    <t>בניכוי עלויות השלמה - כאן: אין</t>
  </si>
  <si>
    <t>בניכוי עלויות מכירה - נתון</t>
  </si>
  <si>
    <t>עלות המכונות:</t>
  </si>
  <si>
    <t>פחת נצבר 1.1.2020:</t>
  </si>
  <si>
    <t xml:space="preserve">1,000 / 10 * (9/12) = </t>
  </si>
  <si>
    <t>עדכון פחת</t>
  </si>
  <si>
    <t xml:space="preserve">אז למעשה: החברה צריכה לרשום הוצאות פחת לשנה נוספת (בגין 2020) בסכום של 100 אלפי ש״ח, ולהגדיל </t>
  </si>
  <si>
    <t>ראינו קודם, שערכו החשבונאי של מלאי הסגירה הוא 20 אלפי ש״ח.</t>
  </si>
  <si>
    <t xml:space="preserve">בגין מלאי הסגירה, </t>
  </si>
  <si>
    <r>
      <t xml:space="preserve">יש לבצע - רישום בטבלה המרכזת של שני ערכי מלאי סגירה: </t>
    </r>
    <r>
      <rPr>
        <u/>
        <sz val="12"/>
        <color theme="1"/>
        <rFont val="David"/>
      </rPr>
      <t>האחד, בסימן חיובי בנכסים (מלאי סגירה מאזן)</t>
    </r>
    <r>
      <rPr>
        <sz val="12"/>
        <color theme="1"/>
        <rFont val="David"/>
      </rPr>
      <t>,</t>
    </r>
  </si>
  <si>
    <r>
      <t xml:space="preserve">והשני - </t>
    </r>
    <r>
      <rPr>
        <u/>
        <sz val="12"/>
        <color theme="1"/>
        <rFont val="David"/>
      </rPr>
      <t>בסימן שלילי בהוצאות (קיטון בהוצאות) - מלאי סגירה רווח והפסד.</t>
    </r>
  </si>
  <si>
    <t>פקודות יומן למיון מלאי:</t>
  </si>
  <si>
    <t>פקודה 1: רישום מלאי הפתיחה כהוצאה</t>
  </si>
  <si>
    <t>מלאי הפתיחה כבר נצרך (לתום השנה) והופך להוצאה</t>
  </si>
  <si>
    <t>מלאי הפתיחה מפסיק להיות נכס במאזן</t>
  </si>
  <si>
    <t>פקודה 2: רישום מלאי הסגירה כנכס</t>
  </si>
  <si>
    <t>חובה מלאי סגירה - מאזן</t>
  </si>
  <si>
    <t>מלאי הסגירה לתום השנה הוא נכס במאזן לתום שנה</t>
  </si>
  <si>
    <t>זכות מלאי סגירה - רווח והפסד</t>
  </si>
  <si>
    <t>מלאי הסגירה משמעו: לא צרכתי את כל הקניות (קיטון בהוצאות / בצריכה)</t>
  </si>
  <si>
    <t>לאחר פקודות אלו, יש לוודא:</t>
  </si>
  <si>
    <t>שמלאי הפתיחה מופיע רק בעמודת ההוצאות</t>
  </si>
  <si>
    <t>ומלאי הסגירה מופיע פעמיים: גם בנכסים, וגם כקיטון בהוצאות</t>
  </si>
  <si>
    <t>מקורי</t>
  </si>
  <si>
    <t>הוצאות שכר 
לשלם - חדששששש</t>
  </si>
  <si>
    <t>התחלת תרגיל חדש ברמת בחינה - שאלת שרה We love you Sarah</t>
  </si>
  <si>
    <t>מיון יתרות ושיחזור ערכים חסרים, לפני עדכונים:</t>
  </si>
  <si>
    <t>שיחזור 1:</t>
  </si>
  <si>
    <t>פחת נצבר מחשבים 1.1.2021 = רק בגין המחשבים שהיו בשנת 2020, שהם 75% מסך כל המחשבים.</t>
  </si>
  <si>
    <t>החלק שנרכש ב-2020 - לפי 75%:</t>
  </si>
  <si>
    <t>כל המחשבים: עלות:</t>
  </si>
  <si>
    <t>פחת מ-1.1.2020 עד 1.1.2021 (שנה אחת):</t>
  </si>
  <si>
    <t xml:space="preserve">300 / 8 = </t>
  </si>
  <si>
    <t>פחת נצבר מעודכן ל-1.1.2021 מחשבים</t>
  </si>
  <si>
    <t>שיחזור 2:</t>
  </si>
  <si>
    <t>כדי לקבוע את הערך החשבונאי בגין המלאי שיוצג לתום השנה (מלאי סגירה), עלינו לחשב שני ערכים</t>
  </si>
  <si>
    <t>ולבחור את הנמוך מביניהם:</t>
  </si>
  <si>
    <t>א. עלות מלאי הסגירה:</t>
  </si>
  <si>
    <t xml:space="preserve">20,000 * 8 = </t>
  </si>
  <si>
    <t>ב. שווי המימוש נטו:</t>
  </si>
  <si>
    <t xml:space="preserve">20,000 * 6 = </t>
  </si>
  <si>
    <t>ערך המלאי - הנמוך מביניהם</t>
  </si>
  <si>
    <t xml:space="preserve">הסבר: נתון שב״תנאים רגילים״ ניתן למכור את המלאי ב-7 ש״ח, אבל - במצב הנוכחי, העדכני, הקיים - </t>
  </si>
  <si>
    <t xml:space="preserve">ניתן למכור את המלאי ב-6 ש״ח. </t>
  </si>
  <si>
    <t xml:space="preserve">כמובן ש״מה שקובע״ הוא ערך המלאי העדכני המתאים למציאות הנוכחית - כלומר 6. </t>
  </si>
  <si>
    <t>100 + x</t>
  </si>
  <si>
    <t>ניתן לייצר לשם חילוץ י״פ עודפים את המשוואה:</t>
  </si>
  <si>
    <t>2,007.5        =           365          +           100 + x             + (985-589)</t>
  </si>
  <si>
    <t>הון עצמי 1.1 כולל עודפים 1.1</t>
  </si>
  <si>
    <t>רווח השנה</t>
  </si>
  <si>
    <t>לפי הכנסות</t>
  </si>
  <si>
    <t>בניכוי</t>
  </si>
  <si>
    <t>וכך x המייצג את יתרת הפתיחה של העודפים יחולץ:</t>
  </si>
  <si>
    <t>x = 1,146.5</t>
  </si>
  <si>
    <t>תאריך לחישוב:</t>
  </si>
  <si>
    <t>כלומר בחלוף 3 שנים + 6 חודשים</t>
  </si>
  <si>
    <t>גרט/שייר</t>
  </si>
  <si>
    <t>תקופת</t>
  </si>
  <si>
    <t>ההפחתה</t>
  </si>
  <si>
    <t>בשנים</t>
  </si>
  <si>
    <t>שנים שחלפו מ-1.7.2017</t>
  </si>
  <si>
    <t>עד החישוב ל-1.1.2021</t>
  </si>
  <si>
    <r>
      <t xml:space="preserve">ב. שווי מימוש נטו (שמ״נ): </t>
    </r>
    <r>
      <rPr>
        <sz val="12"/>
        <color rgb="FFFF0000"/>
        <rFont val="David"/>
      </rPr>
      <t>מחיר מכירה עתידי</t>
    </r>
    <r>
      <rPr>
        <sz val="12"/>
        <color theme="1"/>
        <rFont val="David"/>
      </rPr>
      <t xml:space="preserve">, בניכוי </t>
    </r>
    <r>
      <rPr>
        <sz val="12"/>
        <color rgb="FF0070C0"/>
        <rFont val="David"/>
      </rPr>
      <t>עלויות השלמה</t>
    </r>
    <r>
      <rPr>
        <sz val="12"/>
        <color theme="1"/>
        <rFont val="David"/>
      </rPr>
      <t xml:space="preserve"> ובניכוי </t>
    </r>
    <r>
      <rPr>
        <sz val="12"/>
        <color rgb="FF00B050"/>
        <rFont val="David"/>
      </rPr>
      <t>עלויות מכירה</t>
    </r>
    <r>
      <rPr>
        <sz val="12"/>
        <color theme="1"/>
        <rFont val="David"/>
      </rPr>
      <t>.</t>
    </r>
  </si>
  <si>
    <r>
      <t>10,000 * (</t>
    </r>
    <r>
      <rPr>
        <sz val="12"/>
        <color rgb="FFFF0000"/>
        <rFont val="David"/>
      </rPr>
      <t>8</t>
    </r>
    <r>
      <rPr>
        <sz val="12"/>
        <color theme="1"/>
        <rFont val="David"/>
      </rPr>
      <t xml:space="preserve"> - </t>
    </r>
    <r>
      <rPr>
        <sz val="12"/>
        <color rgb="FF0070C0"/>
        <rFont val="David"/>
      </rPr>
      <t>0.5</t>
    </r>
    <r>
      <rPr>
        <sz val="12"/>
        <color theme="1"/>
        <rFont val="David"/>
      </rPr>
      <t xml:space="preserve"> - </t>
    </r>
    <r>
      <rPr>
        <sz val="12"/>
        <color rgb="FF00B050"/>
        <rFont val="David"/>
      </rPr>
      <t>2.5</t>
    </r>
    <r>
      <rPr>
        <sz val="12"/>
        <color theme="1"/>
        <rFont val="David"/>
      </rPr>
      <t xml:space="preserve">) = </t>
    </r>
  </si>
  <si>
    <t xml:space="preserve">כזכור: מלאי הסגירה ייכלל גם בנכסים בסימן חיובי, וגם בהוצאות בסימן שלילי. </t>
  </si>
  <si>
    <t xml:space="preserve">מדוע? כי מצד אחד המלאי לתום השנה הוא נכס; ומצד שני - הוא מקטין את ״עלות המכר״. </t>
  </si>
  <si>
    <t>הון לתום השנה (לפני תיקון) = הון התחלתי + רווח (הכנסות בניכוי הוצאות)</t>
  </si>
  <si>
    <t>1,687.5          =          170 +        (90 + ?)           + (800 - 497)</t>
  </si>
  <si>
    <t xml:space="preserve">הון עצמי </t>
  </si>
  <si>
    <t>כולל עודפים</t>
  </si>
  <si>
    <t>ל-1.1 (?)</t>
  </si>
  <si>
    <t>תחילת ההפחתה, מטרתנו להפחית עד תום 2021, חודשיים!</t>
  </si>
  <si>
    <r>
      <t xml:space="preserve">שייר / גרט - </t>
    </r>
    <r>
      <rPr>
        <b/>
        <sz val="12"/>
        <color theme="1"/>
        <rFont val="David"/>
      </rPr>
      <t>10% מהעלות</t>
    </r>
    <r>
      <rPr>
        <sz val="12"/>
        <color theme="1"/>
        <rFont val="David"/>
      </rPr>
      <t>.</t>
    </r>
  </si>
  <si>
    <t>אורך החיים</t>
  </si>
  <si>
    <t>הכולל</t>
  </si>
  <si>
    <t>חודשיים</t>
  </si>
  <si>
    <t>הפחתה</t>
  </si>
  <si>
    <t>מתוך שנה</t>
  </si>
  <si>
    <t>עלות המחשבים מהטבלה</t>
  </si>
  <si>
    <t xml:space="preserve">(600            -           0)   /   8 = </t>
  </si>
  <si>
    <t>כאשר רושמים הוצאות פחת במסגרת העדכונים - עלינו לבטא רק את הוצאות הפחת בגין השנה הנוכחית, לא בגין שנים קודמות.</t>
  </si>
  <si>
    <t>חלק א</t>
  </si>
  <si>
    <t>שאלת מסה</t>
  </si>
  <si>
    <t>50 נק׳</t>
  </si>
  <si>
    <t>חלק ב</t>
  </si>
  <si>
    <t>פקודות יומן</t>
  </si>
  <si>
    <t>10 נק׳</t>
  </si>
  <si>
    <t>חתך</t>
  </si>
  <si>
    <t xml:space="preserve">שאלה 4 </t>
  </si>
  <si>
    <t xml:space="preserve">הבחינה מורכבת מ-2 חלקים של שעתיים כל אחד. </t>
  </si>
  <si>
    <t>בין החלקים הפסקה של 45 דקות.</t>
  </si>
  <si>
    <t xml:space="preserve">רשימה של נתונים כספיים בטבלה, ולאחריה - רשימת אירועים נוספים. </t>
  </si>
  <si>
    <t xml:space="preserve">עליכם לדעת כיצד לשחזר את הנתונים ההתחלתיים לפני תיקון. </t>
  </si>
  <si>
    <t xml:space="preserve">כיצד לבטא פקודות יומן לתיקון הערכים. </t>
  </si>
  <si>
    <t xml:space="preserve">כיצד לתקן את הערכים ובעיקר - להפיק דוחות כספיים מלאים עדכניים בתום התהליך. </t>
  </si>
  <si>
    <t xml:space="preserve">אחד האתגרים המשמעותיים בשאלה הזו - לחץ / עומס מידע. </t>
  </si>
  <si>
    <t>מאד חשוב - להתחיל בצורה מסודרת במיון ופתרון החלקים ״הפשוטים״.</t>
  </si>
  <si>
    <t xml:space="preserve">הבדיקה של שאלת המסה מצד אחד מאד מדויקת - ועל כל שלב בתהליך יש ניקוד, </t>
  </si>
  <si>
    <t>מצד שני - כן מתחשבים בטעויות נגררות - ניתן להניח הנחת פתרון באופן מפורש, ולהמשיך איתה.</t>
  </si>
  <si>
    <t xml:space="preserve">לא להגיע למצב שסעיף קשה / מורכב מקלקל לנו יותר ממשקלו. </t>
  </si>
  <si>
    <t xml:space="preserve">תכנון זמן - קריטי. </t>
  </si>
  <si>
    <t>שאלות קטנות</t>
  </si>
  <si>
    <t>פקודות רגילות</t>
  </si>
  <si>
    <t>ברמה של טבלה / אירועים</t>
  </si>
  <si>
    <t>ברמת כל התנועות שנלמדו - כולל אבודים, חילוץ הוצאות..</t>
  </si>
  <si>
    <t>כל שיטות הפחת, כולל רווח הון, כולל שילוב פריטים</t>
  </si>
  <si>
    <t xml:space="preserve">אין מה להתחיל עם ״השאלות הקטנות״ עד שאני סגור פרפקט על שאלת המסה (זו דעתי האישית - </t>
  </si>
  <si>
    <t>המלצה ללמידה:</t>
  </si>
  <si>
    <t>שייקה). כלומר, אני רוצה להיות סגור פרפקט על כל השלבים: להבין מה זה המיון ואיך מתנהגים איתו,</t>
  </si>
  <si>
    <t xml:space="preserve">להבין מה ההבדל בין ״שיחזור יתרות״ (שעליו לא רושמים פקודות יומן) לבין ״עדכון יתרות״ </t>
  </si>
  <si>
    <t xml:space="preserve">שבגינו רושמים פקודות יומן ומעדכנים את הטבלה. </t>
  </si>
  <si>
    <t>מצאו את הדרך הנוחה לכם: האם לעבוד על טבלה אחת עם מחיקות לטובת עדכון, או שתי טבלאות?</t>
  </si>
  <si>
    <t>קחו סטופר ובדקו כמה זמן לוקח לכם לפתור שאלה.</t>
  </si>
  <si>
    <t xml:space="preserve">טכניקות הפתרון וההצגה - מי שעובד עם טכניקת המחברת ותבניות העבודה שהוגדרו - סגור. </t>
  </si>
  <si>
    <t xml:space="preserve">במהלך הלמידה - שימו לב טוב לתאריכים, ותמיד תשאלו את עצמכם - ״מה היה קורה אם״. </t>
  </si>
  <si>
    <t>אני פותר שאלה שבה הפריט נרכש ב-1.1.2021, תשאלו את עצמכם: ״מה הייתי עושה אם הפריט</t>
  </si>
  <si>
    <t xml:space="preserve">נרכש ב-1.9״. </t>
  </si>
  <si>
    <t>לא בחומר ב-2024א</t>
  </si>
  <si>
    <t>בחומר כמובן</t>
  </si>
  <si>
    <t>ד״ר שי צבאן</t>
  </si>
  <si>
    <r>
      <t xml:space="preserve">א. </t>
    </r>
    <r>
      <rPr>
        <b/>
        <sz val="12"/>
        <rFont val="David"/>
      </rPr>
      <t>ביצועים = תוצאות הפעילות</t>
    </r>
    <r>
      <rPr>
        <sz val="12"/>
        <rFont val="David"/>
      </rPr>
      <t xml:space="preserve"> = הביצועים של החברה: חיוביים.              - יוצרי ערך (הכנסות - למשל מכירות או מתן שירות)</t>
    </r>
  </si>
  <si>
    <r>
      <rPr>
        <sz val="12"/>
        <color theme="0"/>
        <rFont val="David"/>
      </rPr>
      <t>,</t>
    </r>
    <r>
      <rPr>
        <sz val="12"/>
        <color theme="1"/>
        <rFont val="David"/>
      </rPr>
      <t>- צורכים ערך (הוצאות - צריכת שירותים ומשאבים)</t>
    </r>
  </si>
  <si>
    <t>לפניכם נתונים לגבי שווי השירות שחברה סיפקה בתחום חימום הנקניק בכל אחת מהשנים 2020-2024, וכן סכום המזומן</t>
  </si>
  <si>
    <t>שגבתה בשנים אלו מלקוחותיה:</t>
  </si>
  <si>
    <t>שווי שירות
שסופק</t>
  </si>
  <si>
    <t>סכום המזומן
שגבתה</t>
  </si>
  <si>
    <t>סכום ההכנסה שתוכר ברווח והפסד לשנה זו</t>
  </si>
  <si>
    <t>הסבר: הגדרנו כי יש לרשום הכנסות בהתאם למועד שבו מבצעים פעילות שיוצרת ערך לחברה: כלומר, בהתאם לשווי השירות</t>
  </si>
  <si>
    <t xml:space="preserve">היא רק העמודה של ״שווי השירות שסופק״. </t>
  </si>
  <si>
    <r>
      <t xml:space="preserve">שחברה סיפקה במהלך השנה (או בהתאם לשווי המכירה). העמודה הרלוונטית בטבלת הנתונים - </t>
    </r>
    <r>
      <rPr>
        <b/>
        <sz val="12"/>
        <rFont val="David"/>
      </rPr>
      <t>לשם מדידת ההכנסה</t>
    </r>
    <r>
      <rPr>
        <sz val="12"/>
        <rFont val="David"/>
      </rPr>
      <t xml:space="preserve"> - </t>
    </r>
  </si>
  <si>
    <t xml:space="preserve">תרגיל כיתה 1: </t>
  </si>
  <si>
    <t>תרגיל כיתה 2</t>
  </si>
  <si>
    <t>חברה סיפקה בשנת 2022 שירות ללקוח רון יהב בשווי 70,000 ש״ח. עד לתום השנה, גבתה ממנו 39,000 ש״ח.</t>
  </si>
  <si>
    <t>כמו כן, סיפקה החברה בשנת 2022 שירות ללקוחה אניה סגס בשווי 30,000 ש״ח. עד לתום השנה גבתה ממנה 24,000 ש״ח.</t>
  </si>
  <si>
    <t>נדרש: בהנחה שהחברה לא ביצעה מכירות ולא העניקה שירותים נוספים ב-2022, מהו סך ההכנסה עליה היא תדווח</t>
  </si>
  <si>
    <t>בדוח רווח והפסד לשנת 2022?</t>
  </si>
  <si>
    <t>הכנסות = שווי פעילות חיובית שבוצעה = סך שווי המכירות והשירות שהחברה סיפקה.</t>
  </si>
  <si>
    <t xml:space="preserve">העובדה שרק חלק מהסכום התקבל במזומן - לא משנה את מדידת ההכנסה לפי קריטריון זה. </t>
  </si>
  <si>
    <r>
      <t xml:space="preserve">כאן, החברה סיפקה שירות לשני לקוחות השנה, בשווי כולל של </t>
    </r>
    <r>
      <rPr>
        <b/>
        <sz val="12"/>
        <rFont val="David"/>
      </rPr>
      <t>100,000</t>
    </r>
    <r>
      <rPr>
        <sz val="12"/>
        <rFont val="David"/>
      </rPr>
      <t xml:space="preserve"> = 70,000 + 30,000. </t>
    </r>
  </si>
  <si>
    <t>תרגיל מסובך - אל תדאגו, סוגי תרגילים כאלו נחזק מאד בהמשך</t>
  </si>
  <si>
    <t>שולם</t>
  </si>
  <si>
    <t>במזומן</t>
  </si>
  <si>
    <t>תחילת הביטוח</t>
  </si>
  <si>
    <t>סיום הביטוח</t>
  </si>
  <si>
    <t>שווי הביטוח שנצרך: 10,000</t>
  </si>
  <si>
    <t>שווי</t>
  </si>
  <si>
    <t>לחצי</t>
  </si>
  <si>
    <t>הוא:</t>
  </si>
  <si>
    <t>מחצית</t>
  </si>
  <si>
    <t>מ-10,000</t>
  </si>
  <si>
    <t>הוצאות ביטוח ב-2022: 5,000</t>
  </si>
  <si>
    <t>השנה</t>
  </si>
  <si>
    <t>ב-2023</t>
  </si>
  <si>
    <t>הוצאות ביטוח ב-2023:</t>
  </si>
  <si>
    <t>דוח רווח והפסד נועד לשקף את שווי השירותים והמכירות שבוצעו בתקופה מסוימת (בדרך כלל - בשנה מסוימת) = הכנסות</t>
  </si>
  <si>
    <t>וכן את שווי השירותים והמשאבים שנצרכו בתקופה מסוימת (בדרך כלל - בשנה מסוימת) = הוצאות</t>
  </si>
  <si>
    <t>ואת ההפרש ביניהם - רווח או הפסד</t>
  </si>
  <si>
    <t>שימו לב לדגש החשוב - ההכנסות וההוצאות משקפות את הפעילות שבוצעה ולא את עיתוי תשלום או קבלת המזומן.</t>
  </si>
  <si>
    <t>סיכום ביניים - המשמעות הבסיסית של דוח רווח והפסד:</t>
  </si>
  <si>
    <t>ולאחר שדנו ברווח והפסד, הכנסות והוצאות - נעבור לסוג הבא של המידע - מצב כספי</t>
  </si>
  <si>
    <r>
      <t xml:space="preserve">ב. </t>
    </r>
    <r>
      <rPr>
        <b/>
        <sz val="12"/>
        <rFont val="David"/>
      </rPr>
      <t>מצב כספי = לנקודת זמן (31.12)</t>
    </r>
    <r>
      <rPr>
        <sz val="12"/>
        <rFont val="David"/>
      </rPr>
      <t xml:space="preserve"> = </t>
    </r>
    <r>
      <rPr>
        <u/>
        <sz val="12"/>
        <rFont val="David"/>
      </rPr>
      <t>נכסים</t>
    </r>
    <r>
      <rPr>
        <sz val="12"/>
        <rFont val="David"/>
      </rPr>
      <t xml:space="preserve">, </t>
    </r>
    <r>
      <rPr>
        <u/>
        <sz val="12"/>
        <rFont val="David"/>
      </rPr>
      <t>התחייבויות</t>
    </r>
    <r>
      <rPr>
        <sz val="12"/>
        <rFont val="David"/>
      </rPr>
      <t xml:space="preserve"> וההפרש = </t>
    </r>
    <r>
      <rPr>
        <u/>
        <sz val="12"/>
        <rFont val="David"/>
      </rPr>
      <t>הון עצמי</t>
    </r>
    <r>
      <rPr>
        <sz val="12"/>
        <rFont val="David"/>
      </rPr>
      <t xml:space="preserve"> [כולל בעיקר השקעת בעלים ואת הרווח שנצבר]</t>
    </r>
  </si>
  <si>
    <t>הדוח על המצב הכספי (בעבר נקרא ״מאזן״) = כי סך הנכסים שווים לסך ההתחייבויותו וההון העצמי</t>
  </si>
  <si>
    <t>עו״ש בנק (מזומן בבנק)</t>
  </si>
  <si>
    <r>
      <t>חשוב מאד לשים לב שמדובר ב</t>
    </r>
    <r>
      <rPr>
        <b/>
        <sz val="12"/>
        <rFont val="David"/>
      </rPr>
      <t>נכס</t>
    </r>
    <r>
      <rPr>
        <sz val="12"/>
        <rFont val="David"/>
      </rPr>
      <t>. לא ניתן לטעון שמדובר בהון עצמי, כי הון עצמי מספר ״מאין הכסף הגיע״ ולא ״כמה כסף יש״.</t>
    </r>
  </si>
  <si>
    <r>
      <rPr>
        <b/>
        <sz val="12"/>
        <rFont val="David"/>
      </rPr>
      <t>עו״ש בנק</t>
    </r>
    <r>
      <rPr>
        <sz val="12"/>
        <rFont val="David"/>
      </rPr>
      <t xml:space="preserve"> = הכוונה היא למזומן שקיים בחשבון הבנק של החברה. </t>
    </r>
  </si>
  <si>
    <r>
      <rPr>
        <b/>
        <sz val="12"/>
        <rFont val="David"/>
      </rPr>
      <t>מלאי</t>
    </r>
    <r>
      <rPr>
        <sz val="12"/>
        <rFont val="David"/>
      </rPr>
      <t xml:space="preserve"> = פריטים שהחברה מחזיקה לצורך מכירתם השוטפת. אם חברה מוכרת נקניקיות - מלאי אצלה יהיה נקניקיות.</t>
    </r>
  </si>
  <si>
    <t xml:space="preserve">את התמורה ולכן זה נכס שלה. </t>
  </si>
  <si>
    <r>
      <rPr>
        <b/>
        <sz val="12"/>
        <rFont val="David"/>
      </rPr>
      <t>לקוחות</t>
    </r>
    <r>
      <rPr>
        <sz val="12"/>
        <rFont val="David"/>
      </rPr>
      <t xml:space="preserve"> = סך החוב העדכני של לקוחות החברה כלפיה למועד הדיווח (31.12). חוב כלפי החברה מוביל לכך שבעתיד היא תגבה</t>
    </r>
  </si>
  <si>
    <t>חייבים (שונים)</t>
  </si>
  <si>
    <t xml:space="preserve">חוב של רשות המסים כלפי החברה וכן הלאה. כמו בכל מקרה אחר של חוב כלפי החברה, זהו נכס שלה. </t>
  </si>
  <si>
    <r>
      <rPr>
        <b/>
        <sz val="12"/>
        <rFont val="David"/>
      </rPr>
      <t>חייבים / חייבים שונים</t>
    </r>
    <r>
      <rPr>
        <sz val="12"/>
        <rFont val="David"/>
      </rPr>
      <t xml:space="preserve"> = חוב כלפי החברה, כאשר זהות החייב (מי שחייב) איננו לקוח אלא גורם אחר. כגון חוב של ספק כלפי החברה,</t>
    </r>
  </si>
  <si>
    <t>את צריכת השירותים והמשאבים במהלך השנה; סכום זה לא חופף ליתרת ההתחייבות. למשל, נניח שצרכתי שירותים בשנת 2022</t>
  </si>
  <si>
    <t>בסכום של 50,000 ש״ח ושילמתי לספק השירותים 48,000 ש״ח. במצב כזה תרשמנה הוצאות של 50,000, אבל יתרת הספקים</t>
  </si>
  <si>
    <t xml:space="preserve">תהיה 2,000 בלבד. </t>
  </si>
  <si>
    <r>
      <rPr>
        <b/>
        <sz val="12"/>
        <rFont val="David"/>
      </rPr>
      <t>ספקים = מדובר ביתרת סכום ההתחייבות העדכנית למועד הדיווח כלפי ספקים</t>
    </r>
    <r>
      <rPr>
        <sz val="12"/>
        <rFont val="David"/>
      </rPr>
      <t>. לא מדובר בהוצאה משום שהוצאות משקפות</t>
    </r>
  </si>
  <si>
    <t xml:space="preserve">המסים, התחייבות לעירייה לתשלומי ארנונה ועוד. </t>
  </si>
  <si>
    <r>
      <rPr>
        <b/>
        <sz val="12"/>
        <rFont val="David"/>
      </rPr>
      <t>זכאים שונים</t>
    </r>
    <r>
      <rPr>
        <sz val="12"/>
        <rFont val="David"/>
      </rPr>
      <t xml:space="preserve"> = יתרת סכום ההתחייבות העדכנית לגורמים שאינם ספקים, כגון - התחייבות לתשלום שכר לעובדים, התחייבות לרשות</t>
    </r>
  </si>
  <si>
    <t xml:space="preserve">מוחשיים שצפויים לשרת את החברה תקופה ארוכה. </t>
  </si>
  <si>
    <r>
      <rPr>
        <b/>
        <sz val="12"/>
        <rFont val="David"/>
      </rPr>
      <t>רכוש קבוע</t>
    </r>
    <r>
      <rPr>
        <sz val="12"/>
        <rFont val="David"/>
      </rPr>
      <t xml:space="preserve"> = מדובר בפריטי רכוש (כל פריט רכוש הוא נכס) כגון: מכונות, ציוד, כלי רכב, מבנים, ריהוט וכיוצא בזה - כלומר פריטים</t>
    </r>
  </si>
  <si>
    <r>
      <rPr>
        <b/>
        <sz val="12"/>
        <rFont val="David"/>
      </rPr>
      <t xml:space="preserve">נדל״ן להשקעה </t>
    </r>
    <r>
      <rPr>
        <sz val="12"/>
        <rFont val="David"/>
      </rPr>
      <t>= מבנים וקרקעות שבבעלות חברה שמיועדים רק להשכרה או למכירה ברווח בעתיד הרחוק (לא משמשים את החברה).</t>
    </r>
  </si>
  <si>
    <t>תרופה חדשה, ורשמה אותה כפטנט. מדובר בנכס כי בזכותו, החברה יכולה להניב הטבות כלכליות בעתיד - לייצר ולמכור ברווח</t>
  </si>
  <si>
    <t xml:space="preserve">את המוצר הייחודי. סוג הנכס הזה נקרא ״נכס בלתי מוחשי״. </t>
  </si>
  <si>
    <r>
      <rPr>
        <b/>
        <sz val="12"/>
        <rFont val="David"/>
      </rPr>
      <t>פטנטים</t>
    </r>
    <r>
      <rPr>
        <sz val="12"/>
        <rFont val="David"/>
      </rPr>
      <t xml:space="preserve"> = נכס המשקף ידע המוגן בזכות בלעדית של החברה להשתמש בידע זה. למשל: חברה השקיעה רבות במחקר ופיתוח להמצאת</t>
    </r>
  </si>
  <si>
    <t xml:space="preserve">בזכות הזכיון החברה יכולה להפעיל את העסק, למכור מוצרים, להנות מהמיתוג שמאפשר לה למכור יותר ולכן זה נכס. </t>
  </si>
  <si>
    <r>
      <rPr>
        <b/>
        <sz val="12"/>
        <rFont val="David"/>
      </rPr>
      <t>זכיונות</t>
    </r>
    <r>
      <rPr>
        <sz val="12"/>
        <rFont val="David"/>
      </rPr>
      <t xml:space="preserve"> = רישיונות להפעלת עסק שברשות החברה, כגון זיכיון (כמו שיש לחלי) של פיצה שמש, זיכיון לארומה וכיוצא בזה. </t>
    </r>
  </si>
  <si>
    <r>
      <rPr>
        <b/>
        <sz val="12"/>
        <rFont val="David"/>
      </rPr>
      <t>תוכנות</t>
    </r>
    <r>
      <rPr>
        <sz val="12"/>
        <rFont val="David"/>
      </rPr>
      <t xml:space="preserve"> = תוכנות מחשב שנרכשו על ידי החברה, צפויים לשמש ולשרת אותה לפעילותה. נכס. </t>
    </r>
  </si>
  <si>
    <r>
      <rPr>
        <b/>
        <sz val="12"/>
        <rFont val="David"/>
      </rPr>
      <t>רווח מניירות ערך, רווח מעליית שווי נדל״ן</t>
    </r>
    <r>
      <rPr>
        <sz val="12"/>
        <rFont val="David"/>
      </rPr>
      <t xml:space="preserve"> = המושג ״רווח״ דומה מאד להכנסה מבחינתנו. רווחים שנובעים מפעילויות שונות יסווגו כהכנסה.</t>
    </r>
  </si>
  <si>
    <r>
      <rPr>
        <b/>
        <sz val="12"/>
        <rFont val="David"/>
      </rPr>
      <t>שכר טרחה, עמלות, דמי ניהול</t>
    </r>
    <r>
      <rPr>
        <sz val="12"/>
        <rFont val="David"/>
      </rPr>
      <t xml:space="preserve"> = שמות אחרים להוצאות. </t>
    </r>
  </si>
  <si>
    <r>
      <rPr>
        <b/>
        <sz val="12"/>
        <rFont val="David"/>
      </rPr>
      <t>הפסד מירידת ערך</t>
    </r>
    <r>
      <rPr>
        <sz val="12"/>
        <rFont val="David"/>
      </rPr>
      <t xml:space="preserve"> = הפסדים שבהם מכירה חברה מהווים חלק מהוצאותיה. מבחינתנו קיימת קירבה גדולה בין הוצאות והפסדים. </t>
    </r>
  </si>
  <si>
    <r>
      <rPr>
        <sz val="12"/>
        <color theme="0"/>
        <rFont val="David"/>
      </rPr>
      <t>,</t>
    </r>
    <r>
      <rPr>
        <sz val="12"/>
        <rFont val="David"/>
      </rPr>
      <t>+ או (-)</t>
    </r>
  </si>
  <si>
    <t>לקוחות (חוב כלפי החברה)</t>
  </si>
  <si>
    <r>
      <t>אשראי לזמן קצר</t>
    </r>
    <r>
      <rPr>
        <sz val="8"/>
        <rFont val="David"/>
      </rPr>
      <t xml:space="preserve"> (כולל משיכת יתר)</t>
    </r>
  </si>
  <si>
    <t>דרך ראשונה לחשב את ההון העצמי לתום שנה:</t>
  </si>
  <si>
    <t xml:space="preserve">ידוע שתמיד ולעולם סך הנכסים = סך ההתחייבויות וההון העצמי. </t>
  </si>
  <si>
    <t>סך הנכסים: 1,851,000</t>
  </si>
  <si>
    <t>סך ההתחייבויות (שוטפות ולא שוטפות):</t>
  </si>
  <si>
    <t xml:space="preserve">226,000 + 34,000 = </t>
  </si>
  <si>
    <t>לפי הגדרת המשוואה לעיל:</t>
  </si>
  <si>
    <t>דרך 2 חשובה להון העצמי בסוף שנה:</t>
  </si>
  <si>
    <t>ל-1.1</t>
  </si>
  <si>
    <t>מרווח והפסד</t>
  </si>
  <si>
    <t>סך ההון העצמי: Y</t>
  </si>
  <si>
    <t>1,851,000 = 260,000 + Y</t>
  </si>
  <si>
    <t>Y = 1,591,000</t>
  </si>
  <si>
    <t>תת נושא חדש לדוחות הכספיים - ובפרט לדוח רווח והפסד: הרכיבים הכלולים במכירות ועלות המכירות</t>
  </si>
  <si>
    <t>כדי לפשט את הדיון בתרגיל הקודם שפתרנו - לא נדרשנו לחשב בעצמנו את המכירות ואת עלות המכירות.</t>
  </si>
  <si>
    <t xml:space="preserve">הערכים היו נתונים באופן מלא. </t>
  </si>
  <si>
    <t>בעולם האמיתי, הערכים הכספיים על בסיסם נבנה שני סעיפים אלו, היא מורכבת יותר.</t>
  </si>
  <si>
    <t xml:space="preserve">מכירות, נטו </t>
  </si>
  <si>
    <t>מהי ההגדרה של קניות, נטו (חישוב עזר, לא מופיע ברווח והפסד)</t>
  </si>
  <si>
    <r>
      <t xml:space="preserve">מה ההגדרה של </t>
    </r>
    <r>
      <rPr>
        <b/>
        <sz val="12"/>
        <color theme="1"/>
        <rFont val="David"/>
      </rPr>
      <t>סעיף המכירות בדוח רווח והפסד</t>
    </r>
    <r>
      <rPr>
        <sz val="12"/>
        <color theme="1"/>
        <rFont val="David"/>
      </rPr>
      <t>:</t>
    </r>
  </si>
  <si>
    <r>
      <t xml:space="preserve">ההגדרה של סעיף </t>
    </r>
    <r>
      <rPr>
        <b/>
        <sz val="12"/>
        <color theme="1"/>
        <rFont val="David"/>
      </rPr>
      <t>עלות המכירות בדוח רווח והפסד</t>
    </r>
    <r>
      <rPr>
        <sz val="12"/>
        <color theme="1"/>
        <rFont val="David"/>
      </rPr>
      <t>:</t>
    </r>
  </si>
  <si>
    <t>מלאי פתיחה (ל-1.1)</t>
  </si>
  <si>
    <t>קניות נטו</t>
  </si>
  <si>
    <t>מלאי סגירה (ל-31.12)</t>
  </si>
  <si>
    <t xml:space="preserve">עלות המכירות </t>
  </si>
  <si>
    <t>תרגיל - מכירות ועלות המכר - חידוד נקודתי</t>
  </si>
  <si>
    <t>בחברת ״רעותים ושפירים״ בע״מ (להלן: ״החברה״) נוצרו הנתונים הבאים בשנת 2024:</t>
  </si>
  <si>
    <t>הנחות מזומן ללקוחות</t>
  </si>
  <si>
    <t>מלאי ל-1.1</t>
  </si>
  <si>
    <t>מלאי ל-31.12</t>
  </si>
  <si>
    <t>הוצאות הובלה למחסן</t>
  </si>
  <si>
    <t>הוצאות הובלה לללקוחות</t>
  </si>
  <si>
    <t xml:space="preserve">א. סווגו את הערכים השונים למכירות נטו ו/או עלות המכר. אם יש נתון שלא שייך לאף קטגוריה, ציינו לאיזה סעיף שונה הוא שייך. </t>
  </si>
  <si>
    <t>ב. חשבו את הרווח הגולמי בחברה.</t>
  </si>
  <si>
    <t>קניות, ברוטו</t>
  </si>
  <si>
    <t>הוצ׳ מימון</t>
  </si>
  <si>
    <r>
      <rPr>
        <b/>
        <sz val="12"/>
        <color theme="1"/>
        <rFont val="David"/>
      </rPr>
      <t>הנחות מזומן</t>
    </r>
    <r>
      <rPr>
        <sz val="12"/>
        <color theme="1"/>
        <rFont val="David"/>
      </rPr>
      <t xml:space="preserve"> ללקוחות</t>
    </r>
  </si>
  <si>
    <r>
      <rPr>
        <b/>
        <sz val="12"/>
        <color theme="1"/>
        <rFont val="David"/>
      </rPr>
      <t>הנחות מזומן</t>
    </r>
    <r>
      <rPr>
        <sz val="12"/>
        <color theme="1"/>
        <rFont val="David"/>
      </rPr>
      <t xml:space="preserve"> מספקים</t>
    </r>
  </si>
  <si>
    <t xml:space="preserve">הערכים שסומנו בירוק הם רכיבי הקניות נטו. </t>
  </si>
  <si>
    <t>לשם חישוב רווח גולמי:</t>
  </si>
  <si>
    <t>למעשה, מטרתנו בתרגיל זה לא היתה לבנות דוח כספי שלם כמו בתרגילים הקודמים;</t>
  </si>
  <si>
    <t xml:space="preserve">אלא רק ללמדנו כיצד להתמודד ולהגדיר ספציפית מה כלול בסעיף המכירות בדוח רווח והפסד ומה כלול בסעיף עלות המכר בדוח רווח והפסד - </t>
  </si>
  <si>
    <t xml:space="preserve">במידה ונקבל שאלה שבה ערכים אלו (מכירות ועלות המכר) לא יהיו נתונים מפורשות, ונצטרך להרכיב אותם לבד (מהחשבונות הכלולים בהם). </t>
  </si>
  <si>
    <t>חיזוק נוסף בנושא עלות מכר ורווח גולמי (בסמסטר 2025א למדנו את זה במפגש 2, לכן לא נעבור לע זה רק תתרגלו בבית)</t>
  </si>
  <si>
    <t>נסח השאלה - לפניכם נתונים בדבר עסקאות שהתרחשו בחברה שהוקמה ב-1.1.2020, בשנת 2020:</t>
  </si>
  <si>
    <t>תרגול נוסף - יישום: כיצד רושמים פקודות יומן (רישום חשבונאי, חובה וזכות) ישירות על בסיס נתוני עסקאות ללא טבלת עזר</t>
  </si>
  <si>
    <t>רקע: בתרגיל הקודם כדי להקל על ההבנה התחלנו בתיעוד עסקאות כלליות באופן שרושם תחילה בטבלת עזר את ההשפעות של כל אירוע</t>
  </si>
  <si>
    <t>על הנכסים, ההתחייבויות ורכיבי ההון העצמי.</t>
  </si>
  <si>
    <t>רק לאחר מכן עברנו לדון בפקודות היומן על בסיס טבלת ההמרות:</t>
  </si>
  <si>
    <t xml:space="preserve">המטרה שלנו כעת היא לתרגל רישום מיידי על בסיס האירוע, בלי ״לעבור״ דרך טבלת העזר. </t>
  </si>
  <si>
    <t>נסח השאלה:</t>
  </si>
  <si>
    <t xml:space="preserve">חברת ״רעות שפירא״ בע״מ הוקמה ב-1.1.2024. במהלך שנה זו אירעו העסקאות והאירועים הכלכליים הבאים. </t>
  </si>
  <si>
    <t xml:space="preserve">עבור כל אחד מהם עליכם לבטא את פקודת היומן (אופן הרישום החשבונאי, חובה / זכות) המתבקש לשם מתן ביטוי לאירוע. </t>
  </si>
  <si>
    <t>א. החברה הנפיקה מניות: 45,000 מניות בנות 4 ש״ח ערך נקוב כל אחת, בתמורה ל-180,000 ש״ח במזומן:</t>
  </si>
  <si>
    <t>בשאלה זו ניתן לזהות עלייה בנכס המזומן;</t>
  </si>
  <si>
    <t>המקור לעלייה במזומן - הון המניות (השקעת בעלים) - הון עצמי.</t>
  </si>
  <si>
    <t>חובה מזומן (עלייה בנכס המזומן)</t>
  </si>
  <si>
    <t>זכות הון מניות (עלייה בהון העצמי)</t>
  </si>
  <si>
    <t xml:space="preserve">ב. החברה נטלה (לקחה) הלוואה ללא ריבית לתקופה של 8 שנים בסך 350,000 ש״ח. כספי ההלוואה הועברו לעו״ש החברה. </t>
  </si>
  <si>
    <t>חלה עלייה בנכס המזומן.</t>
  </si>
  <si>
    <t xml:space="preserve">המקור לעלייה בנכס המזומן - זו התחייבות בגין הלוואה. </t>
  </si>
  <si>
    <t>זכות הלוואה (עלייה בהתחייבות)</t>
  </si>
  <si>
    <t>ג. החברה החזירה 30,000 ש״ח מתוך ההלוואה בסעיף ב</t>
  </si>
  <si>
    <t>חלה ירידה בנכס המזומן</t>
  </si>
  <si>
    <t>זכות מזומן (ירידה בנכס המזומן)</t>
  </si>
  <si>
    <t>חלה ירידה בהתחייבות בגין הלוואה</t>
  </si>
  <si>
    <t>חובה הלוואה (ירידה בהתחייבות)</t>
  </si>
  <si>
    <t>ד. החברה רכשה סחורה מספקים (קניות) בעלות 40,000 ש״ח. היא שילמה במזומן 28,000 ש״ח, את היתרה תשלם לספק</t>
  </si>
  <si>
    <t>בשנה הבאה.</t>
  </si>
  <si>
    <t>חלה עלייה בהוצאות (קניות, חלק מעלות המכר)</t>
  </si>
  <si>
    <t>חלה עלייה בהתחייבות לספקים</t>
  </si>
  <si>
    <t>חובה קניות (הוצאה בגין קניות)</t>
  </si>
  <si>
    <t>זכות ספקים (עלייה בהתחייבות לספקים)</t>
  </si>
  <si>
    <t>ה. החברה קנתה מכונה ענקית לחימום נקניק לעובדי המשרד בעלות של 150,000 ש״ח. היא שילמה 40,000 ש״ח במזומן,</t>
  </si>
  <si>
    <t>את היתרה תשלם לספק בשנה הבאה.</t>
  </si>
  <si>
    <t>חלה עלייה בנכס מכונות הנקניק (רכוש קבוע)</t>
  </si>
  <si>
    <t>חובה מכונת נקניק (עלייה בנכס)</t>
  </si>
  <si>
    <t>חלה עלייה בהתחייבות לספק המכונה</t>
  </si>
  <si>
    <t>ו. החברה קנתה נקניקיות לעובדי המשרד בעלות 500 ש״ח ושילמה במזומן</t>
  </si>
  <si>
    <t>יש להכיר בהוצאות בגין נקניק לעובדים</t>
  </si>
  <si>
    <t>חובה הוצאות בגין נקניק לעובד</t>
  </si>
  <si>
    <t xml:space="preserve">ז. החברה ביצעה מכירות ללקוח בהיקף של 70,000 ש״ח. סכום של 25,000 ש״ח קיבלה במזומן, סכום של 8,000 ש״ח קיבלה בשיק </t>
  </si>
  <si>
    <t>דחוי שייפרע בשנה הבאה. היתרה טרם שולמה.</t>
  </si>
  <si>
    <t>חלה עלייה בנכס המזומן</t>
  </si>
  <si>
    <t>חלה עלייה בהכנסה ממכירות</t>
  </si>
  <si>
    <t xml:space="preserve">זכות הכנסות ממכירות </t>
  </si>
  <si>
    <t>חלה עלייה בנכס שיקים לקבל (שיק דחוי שקיבלתי)</t>
  </si>
  <si>
    <t xml:space="preserve">חובה שיקים לקבל </t>
  </si>
  <si>
    <t>חלה עלייה בחוב הכללי של הלקוח כלפינו (נכס לקוחות)</t>
  </si>
  <si>
    <t>חברת ״ד״ר צבאנים״ עוסקת בייעוץ להטמעת מערכות מחשב של Apple בעסקים. להלן נתונים בדבר שווי שירותי ייעוץ</t>
  </si>
  <si>
    <t>רישום של</t>
  </si>
  <si>
    <t xml:space="preserve">ההכנסה </t>
  </si>
  <si>
    <t>באופן לא מדויק</t>
  </si>
  <si>
    <t>בהנה״ח</t>
  </si>
  <si>
    <t>רישום</t>
  </si>
  <si>
    <t>בהתאם לעקרון</t>
  </si>
  <si>
    <t>היקף השירות</t>
  </si>
  <si>
    <t>שסופק (לדוח)</t>
  </si>
  <si>
    <t>הגדלת הכנסה</t>
  </si>
  <si>
    <t>הקטנת הכנסה</t>
  </si>
  <si>
    <t>בגין ההכנסה לפי ההפרש</t>
  </si>
  <si>
    <t>בין ההכנסה בפועל (שירות)</t>
  </si>
  <si>
    <t xml:space="preserve">בירוק, לבין ההכנסה לפי </t>
  </si>
  <si>
    <t>מזומן (בהנה״ח) - צהוב.</t>
  </si>
  <si>
    <t>אין צורך לבצע התאמה</t>
  </si>
  <si>
    <t xml:space="preserve">הגדלת הכנסה </t>
  </si>
  <si>
    <t>מי חייב למי וכמה</t>
  </si>
  <si>
    <t>האם אני חייב ללקוח</t>
  </si>
  <si>
    <t>או שהלקוח חייב לי?</t>
  </si>
  <si>
    <t>הלקוח חייב לי 100</t>
  </si>
  <si>
    <t>רישום התאמה - בכל שנה</t>
  </si>
  <si>
    <t>במצטבר</t>
  </si>
  <si>
    <t>אני חייב ללקוח 120</t>
  </si>
  <si>
    <t>אני חייב ללקוח 50</t>
  </si>
  <si>
    <t>בעסקאות לשירות מתמשך:</t>
  </si>
  <si>
    <t>הלקוח חייב לי = הכנסות לקבל  (נכס)</t>
  </si>
  <si>
    <t>אני חייב ללקוח = הכנסות מראש (התחייבות)</t>
  </si>
  <si>
    <t>נתחיל מטבלה עם מושגים הגיוניים אך לא מדויקים, רק כדי להבין את העיקרון:</t>
  </si>
  <si>
    <t>כעת, ננסה לראות כיצד הרישום החשבונאי המדויק מתבצע במצב כזה:</t>
  </si>
  <si>
    <t>אין רישום</t>
  </si>
  <si>
    <t>ח׳ מזומן 420
ז׳ הכנסות 420</t>
  </si>
  <si>
    <t>ח׳ מזומן 80
ז׳ הכנסות 80</t>
  </si>
  <si>
    <t>ח׳ מזומן 300
ז׳ הכנסות 300</t>
  </si>
  <si>
    <t>ח׳ מזומן 50
ז׳ הכנסות 50</t>
  </si>
  <si>
    <r>
      <t xml:space="preserve">ההכנסה </t>
    </r>
    <r>
      <rPr>
        <b/>
        <sz val="12"/>
        <rFont val="David"/>
      </rPr>
      <t>פקודה</t>
    </r>
    <r>
      <rPr>
        <sz val="12"/>
        <rFont val="David"/>
      </rPr>
      <t xml:space="preserve"> </t>
    </r>
  </si>
  <si>
    <t>ח׳ הכנסות לקבל 100
ז׳ הכנסות 100</t>
  </si>
  <si>
    <t>ז׳ הכנסות לקבל 100
ז׳ הכנסות מראש 120
ח׳ הכנסות 220</t>
  </si>
  <si>
    <t>ח׳ הכנסות מראש 70
ז׳ הכנסות 70</t>
  </si>
  <si>
    <t>ח׳ הכנסות מראש 50
ז׳ הכנסות 50</t>
  </si>
  <si>
    <t>בצבע גוף / כתום - פקודת התאמה. יש לה שני חלקים. חלק אחד מטפל בהפרש בין ההכנסה שהוכרה לפי מזומן (בצהוב) לפי ההכנסה</t>
  </si>
  <si>
    <t xml:space="preserve">שצריכה להיות מוכרת לפי שווי שירות (בירוק). החלק השני קשור ליתרת החתך / התחשבנות בלבן (מי חייב למי). </t>
  </si>
  <si>
    <t>בלבן - חשבון חתך / התחשבנות, מתאר מי חייב למי וכמה. כדי לחשב את ערכו, יש לסכום את כלל הערכים בצהוב (מזומן)</t>
  </si>
  <si>
    <t>יתרת חתך:</t>
  </si>
  <si>
    <t>ז׳ הכנסה כשמגדילים הכנסה</t>
  </si>
  <si>
    <t>אם חלה עלייה בהכנסה לקבל: ח׳ הכנסה לקבל</t>
  </si>
  <si>
    <t>אם חלה ירידה בהכנסה לקבל: ז׳ הכנסה לקבל</t>
  </si>
  <si>
    <t>אם חלה עלייה בהכנסה מראש: ז׳ הכנסה מראש</t>
  </si>
  <si>
    <t>אם המזומן גבוה מהשירות:</t>
  </si>
  <si>
    <t>ההפרש = הכנסות מראש (התחייבות)</t>
  </si>
  <si>
    <t>אם השירות גבוה מהמזומן:</t>
  </si>
  <si>
    <t>ההפרש = הכנסות לקבל (נכס)</t>
  </si>
  <si>
    <t>ח׳ הכנסה כשמקטינים הכנסה</t>
  </si>
  <si>
    <t>חובה מזומן 15
זכות הכנסה 15</t>
  </si>
  <si>
    <t>חובה מזומן 7
זכות הכנסה 7</t>
  </si>
  <si>
    <t>חובה מזומן 40
זכות הכנסה 40</t>
  </si>
  <si>
    <t>חובה מזומן 5
זכות הכנסה 5</t>
  </si>
  <si>
    <t>הכנסות מראש 6</t>
  </si>
  <si>
    <t>הכנסות מראש 5</t>
  </si>
  <si>
    <t>הכנסות מראש 25</t>
  </si>
  <si>
    <t>הכנסות לקבל 10</t>
  </si>
  <si>
    <t>ח׳ הכנסה 6
ז׳ הכנסה מראש 6</t>
  </si>
  <si>
    <t>ז׳ הכנסה 1
ח׳ הכנסה מראש 1</t>
  </si>
  <si>
    <t>ח׳ הכנסה 20
ז׳ הכנסה מראש 20</t>
  </si>
  <si>
    <t>אם חלה ירידה בהכנסה מראש: ח׳ הכנסה מראש</t>
  </si>
  <si>
    <t>ז׳ הכנסה 35
ח׳ הכנסות מראש 25
ח׳ הכנסות לקבל 10</t>
  </si>
  <si>
    <t>תזכורת וחיבור למפגש הקודם - חתך והכרה בהכנסות ובהוצאות:</t>
  </si>
  <si>
    <t>יתרת התחשבנות</t>
  </si>
  <si>
    <t>שבהקשר להוצאות</t>
  </si>
  <si>
    <t>תהיה הוצאות מראש</t>
  </si>
  <si>
    <t>או לשלם</t>
  </si>
  <si>
    <t>הוצאות מראש 170</t>
  </si>
  <si>
    <t>הוצאות מראש 100</t>
  </si>
  <si>
    <t>הוצאות לשלם 140</t>
  </si>
  <si>
    <t>אם יוצרים/מגדילים נכס (הוצ׳ מראש) - ח׳</t>
  </si>
  <si>
    <t>אם יוצרים/מגדילים התחייבות (הוצ׳ לשלם) - ז׳</t>
  </si>
  <si>
    <t>אם מכירים בהוצ׳ נוספת - ח׳</t>
  </si>
  <si>
    <t>אם מקטינים הוצ׳ - ז׳</t>
  </si>
  <si>
    <t>ח׳ הוצ׳ מראש 170
ז׳ הוצאות 170</t>
  </si>
  <si>
    <t>ז׳ הוצ׳ מראש 100
ח׳ הוצאות 100</t>
  </si>
  <si>
    <t>ז׳ הוצ׳ מראש 70
ח׳ הוצאות 70</t>
  </si>
  <si>
    <t>ז׳ הוצאות לשלם 140
ח׳ הוצאות 140</t>
  </si>
  <si>
    <t>ח׳ הוצאות לשלם 140
ז׳ הוצאות 140</t>
  </si>
  <si>
    <t>ח׳ הוצאות 5
ז׳ מזומן 5</t>
  </si>
  <si>
    <t>ח׳ הוצאות 20
ז׳ מזומן 20</t>
  </si>
  <si>
    <t>ח׳ הוצאות 30
ז׳ מזומן 30</t>
  </si>
  <si>
    <t>ח׳ הוצאות 25
ז׳ מזומן 25</t>
  </si>
  <si>
    <t>הוצ׳ לשלם 5</t>
  </si>
  <si>
    <t>הוצ׳ מראש 45</t>
  </si>
  <si>
    <t>הוצ׳ מראש 35</t>
  </si>
  <si>
    <t>הוצ׳ מראש 25</t>
  </si>
  <si>
    <t>זכות הוצאות לשלם 5
חובה הוצאות 5</t>
  </si>
  <si>
    <t>ח׳ הוצאות לשלם 5
ח׳ הוצאות מראש 45
זכות הוצאות 50</t>
  </si>
  <si>
    <t>זכות הוצאות מראש 10
ח׳ הוצאות 10</t>
  </si>
  <si>
    <t>ז׳ הוצאות מראש 25
ח׳ הוצאות 25</t>
  </si>
  <si>
    <t>הוצאות מראש 400</t>
  </si>
  <si>
    <t>ח׳ הוצאות שכר 700
ז׳ מזומן 700</t>
  </si>
  <si>
    <t>הוצאות לשלם 90</t>
  </si>
  <si>
    <t>ח׳ הוצאות שכר 90
ז׳ הוצאות לשלם 90</t>
  </si>
  <si>
    <t>ז׳ הכנסות מראש 80
ח׳ הכנסות 80</t>
  </si>
  <si>
    <t>נושא חדש - לקוחות והלח״מ</t>
  </si>
  <si>
    <t xml:space="preserve">חברת ״נקניקי החורף״ הוקמה ב-1.1.2020. החברה עוסקת במגוון רחב של פעילויות עסקיות, ובעיקר ממכר נקניק חם. </t>
  </si>
  <si>
    <t>כאשר אני דן בלקוחות, 3 ״כרטיסי חשבון״ ילוו את רישומיי:</t>
  </si>
  <si>
    <t>לקוחות, ברוטו;     הלח״מ ;    הוצאות הלח״מ</t>
  </si>
  <si>
    <t>עד כאן שיעור 5</t>
  </si>
  <si>
    <t>מפגש 6 - רכוש קבוע: 9/12/2024</t>
  </si>
  <si>
    <t xml:space="preserve">והענקנו לנכסים אלו דוגמא בולטת - </t>
  </si>
  <si>
    <t>הדגמות: מכונות, ציוד, כלי רכב, מבנים, ריהוט, מחשבים וכיו״ב.</t>
  </si>
  <si>
    <t>נניח שקניתי מכונית ואני מתכנן להשתמש בה תקופה ארוכה (רכוש קבוע). באיזה סכום ארשום אותה בדוחות</t>
  </si>
  <si>
    <t xml:space="preserve">שלי כאשר קניתי ובתקופות מאוחרות יותר (באיזה סכום = מדידה). </t>
  </si>
  <si>
    <t>בסיס מדידה 1</t>
  </si>
  <si>
    <t>לא מחייב: ״הערכה מחדש״</t>
  </si>
  <si>
    <t>מציגות את הפריט</t>
  </si>
  <si>
    <t>בסכום הקרוב לשוויו העדכני</t>
  </si>
  <si>
    <t>לקורס שלנו:</t>
  </si>
  <si>
    <t>בסיס מדידה 2 (המחייב בקורס)</t>
  </si>
  <si>
    <t>לפי העלות המקורית (ההיסטורית) שלהם</t>
  </si>
  <si>
    <t>בניכוי הפחת שנצבר (״שחיקה״)</t>
  </si>
  <si>
    <t>כושר השימוש בנכס</t>
  </si>
  <si>
    <t xml:space="preserve">עלות מופחתת = </t>
  </si>
  <si>
    <t>אנו יודעים שפריט רכוש קבוע נמדד (אצלנו) לפי עלות פחות הפחת הנצבר. לכן צריך להציג שיטות מקובלות לחישוב</t>
  </si>
  <si>
    <t>הפחת השנתי והפחת המצטבר. השיטה הנוחה ביותר (והנפוצה ביותר) היא שיטת הקו הישר, שיטה שמניחה שהנכס</t>
  </si>
  <si>
    <t>נשחק בקצב קבוע (בסכום קבוע) על פני זמן. נדגים את אופן החישוב והמשמעויות להלן:</t>
  </si>
  <si>
    <t>עלות (היסטורית, ברכישה)</t>
  </si>
  <si>
    <t>פחת נצבר (סיכום הוצ׳ פחת)</t>
  </si>
  <si>
    <t>ערך ספרים/ע. מופחתת</t>
  </si>
  <si>
    <t>מהווה את הסכום שיוצג במאזן (בדוח על המצב הכספי) כנכס</t>
  </si>
  <si>
    <t>בתמצית:</t>
  </si>
  <si>
    <t>בכל שנה ושנה, יש להציג בדוח רווח והפסד הוצאות פחת בסך 10,000 ש״ח.</t>
  </si>
  <si>
    <t xml:space="preserve">בכל אחת מהשנים, במאזן, בצד הנכסים, יוצג הרכוש הקבוע בסכום שיילך ויקטן בכל שנה ב-10,000. </t>
  </si>
  <si>
    <t>יוצג כנטו נכס במאזן</t>
  </si>
  <si>
    <t>הפסד הון: הפרש שלילי בין תמורת המכירה 25,000</t>
  </si>
  <si>
    <t>לבין ערך הספרים ״רגע לפני המכירה״: 100,417</t>
  </si>
  <si>
    <t>לדיווח - אחרי המכירה</t>
  </si>
  <si>
    <t>גם העלות וגם הפחת הנצבר מתאפסים</t>
  </si>
  <si>
    <t>מיד לאחר המכירה</t>
  </si>
  <si>
    <t>הוצאות הפחת לא מתאפסות בשנת המכירה, רק נעצרות</t>
  </si>
  <si>
    <t>10*11/2 = 55</t>
  </si>
  <si>
    <t>סכום ספרות</t>
  </si>
  <si>
    <t>מתאריך</t>
  </si>
  <si>
    <t>עד תאריך</t>
  </si>
  <si>
    <t>ספרה</t>
  </si>
  <si>
    <t xml:space="preserve">D(2018) = (5,000,000-800,000) * ((10*9/12)/55) = </t>
  </si>
  <si>
    <t xml:space="preserve">D(2019) = (5,000,000-800,000) * ((10*3/12 + 9*9/12)/55) = </t>
  </si>
  <si>
    <t>D(2020) = (5,000,000-800,000) * ((9*3/12 + 8*9/12)/55)</t>
  </si>
  <si>
    <t>פתרון בהצגה מקוצרת / ללא ציר - סכום ספרות והוצאות פחת שנתיות</t>
  </si>
  <si>
    <t>שאלה 7 - רכוש קבוע, סכום ספרות, קנלו</t>
  </si>
  <si>
    <t>קנלו אלברז, סטודנט מצטיין באקדמית עמק יזרעאל, רכש לחברה שבבעלותו מכונה</t>
  </si>
  <si>
    <t xml:space="preserve">ענקית לחימום נקניק בעלות של 700,000 ש״ח. </t>
  </si>
  <si>
    <t xml:space="preserve">המכונה מופחתת על פני 7 שנים בשיטת סכום ספרות השנים (היורד - סס״י), </t>
  </si>
  <si>
    <t xml:space="preserve">וידוע שערך השייר / הגרט של המכונה 100,000 ש״ח. </t>
  </si>
  <si>
    <t xml:space="preserve">המכונה נרכשה ב-1.1.2020, הגיעה לחברה ב-1.3.2020 והפכה לזמינה לשימוש ב-1.6.2020. </t>
  </si>
  <si>
    <t xml:space="preserve">נדרש: חשבו והציגו את הוצאות הפחת בכל אחת מהשנים 2020-2023, </t>
  </si>
  <si>
    <t xml:space="preserve">ואת הפחת הנצבר והעלות המופחתת לתום כל אחת משנים אלו. </t>
  </si>
  <si>
    <t>תזכורת לגבי שלבי העבודה:</t>
  </si>
  <si>
    <t xml:space="preserve">חשבו את סכום הספרות - </t>
  </si>
  <si>
    <t>n*(n+1)/2</t>
  </si>
  <si>
    <t>כאשר n הוא תקופת ההפחתה של הנכס.</t>
  </si>
  <si>
    <t xml:space="preserve">הציגו טבלה / ציר שבה תרשמו את שנת ההתחלה והסיום של כל שנת חיים של הנכס ואת הספרה הרלוונטית (בסדר יורד). </t>
  </si>
  <si>
    <t xml:space="preserve">הוצאות הפחת תחושבנה לפי היחס בין הספרה / הספרות בשנה הרלוונטית לסכום הספרות, וכל היחס יוכפל בעלות בניכוי הגרט. </t>
  </si>
  <si>
    <t>7 * (7 + 1) / 2 = 28</t>
  </si>
  <si>
    <t>7*7/12</t>
  </si>
  <si>
    <t>7*5/12 + 6 * 7/12</t>
  </si>
  <si>
    <t>6*5/12 + 5*7/12</t>
  </si>
  <si>
    <t>5*5/12 + 4*7/12</t>
  </si>
  <si>
    <t xml:space="preserve">ב. להמשיך ולתרגל את שיטת סכום ספרות השנים.  </t>
  </si>
  <si>
    <t>הרצאה 7 - רכוש קבוע: סכום ספרות השנים - המשך תרגול - 16/12/2024</t>
  </si>
  <si>
    <r>
      <rPr>
        <b/>
        <sz val="12"/>
        <color theme="1"/>
        <rFont val="David"/>
      </rPr>
      <t>א. מכונה ענקית לחימום נקניק:</t>
    </r>
    <r>
      <rPr>
        <sz val="12"/>
        <color theme="1"/>
        <rFont val="David"/>
      </rPr>
      <t xml:space="preserve"> בעלות 50,000 ש״ח. פרט לעלות המכונה שילמה החברה עבור הובלתה לחברה</t>
    </r>
  </si>
  <si>
    <r>
      <rPr>
        <b/>
        <sz val="12"/>
        <color theme="1"/>
        <rFont val="David"/>
      </rPr>
      <t xml:space="preserve">ב. מבנה אשפוז: </t>
    </r>
    <r>
      <rPr>
        <sz val="12"/>
        <color theme="1"/>
        <rFont val="David"/>
      </rPr>
      <t>כדי לאכלס את העובדים שחלו מאכילת נקניק כל היום, רכשה החברה מבנה בעלות של 500,000 ש״ח.</t>
    </r>
  </si>
  <si>
    <t>בניכוי פחת נצבר</t>
  </si>
  <si>
    <t>עמודת עזר</t>
  </si>
  <si>
    <t>ערב המכירה</t>
  </si>
  <si>
    <t>הדיווח לאחר</t>
  </si>
  <si>
    <t>המכירה</t>
  </si>
  <si>
    <t xml:space="preserve">24,000 - 14,667 = </t>
  </si>
  <si>
    <t>פתרון מקוצר המזכה בניקוד מלא:</t>
  </si>
  <si>
    <t>פירוט מלא וחופר על כל הרכיבים (לא נעבור בכיתה, שיהיה לכם לבית אם לא מובן):</t>
  </si>
  <si>
    <t xml:space="preserve">D(2022) = (80,000/5) * 3/12 = </t>
  </si>
  <si>
    <t>ב-1.4.2022 המכונה נמכרה:</t>
  </si>
  <si>
    <t>ס״ס:</t>
  </si>
  <si>
    <t xml:space="preserve">20 * 21 / 2 = </t>
  </si>
  <si>
    <t xml:space="preserve">n * (n + 1) / 2 = </t>
  </si>
  <si>
    <t>פקודה לרישום הוצאות פחת - עד המכירה - הוצאות הפחת בשנה זו הן 1.1.2022 - 1.3.2022 כלומר לחודשיים בלבד</t>
  </si>
  <si>
    <t>נציג את הנתונים רגע לפני המכירה לטובת הטיפול בה:</t>
  </si>
  <si>
    <t xml:space="preserve">80,000/8 * (2 + 2/12) = </t>
  </si>
  <si>
    <t>הכרה בנכס המזומן שהתקבל</t>
  </si>
  <si>
    <t>איפוס העלות (כי לאחר המכירה גם העלות וגם הפחת הנצבר מתאפסים)</t>
  </si>
  <si>
    <t>הפחת הנצבר מתאפס גם הוא</t>
  </si>
  <si>
    <t>הפסד הוא סוג של הוצאה, ולכן נרשם בחובה, אופן חישובו לעיל</t>
  </si>
  <si>
    <t>תזכורת לתהליך עבודה:</t>
  </si>
  <si>
    <t>א. חשבו את סכום הספרות</t>
  </si>
  <si>
    <t>n * (n + 1)/2</t>
  </si>
  <si>
    <t>ב. תנו ספרה לכל שנה, בסדר יורד. השנה הראשונה</t>
  </si>
  <si>
    <t>תקבל את הספרה n (אורך חיים), השנה השניה</t>
  </si>
  <si>
    <t>את הספרה n-1 (אורך חיים פחות אחת) וכן הלאה.</t>
  </si>
  <si>
    <t xml:space="preserve">ג. כדי לחשב את הוצאות הפחת בכל שנה - </t>
  </si>
  <si>
    <t>לוקחים את הספרה (או החלק היחסי ממנה)</t>
  </si>
  <si>
    <t>מחלקים בסכום הספרות</t>
  </si>
  <si>
    <t>וכל זה - כפול העלות פחות השייר / הגרט</t>
  </si>
  <si>
    <t>סכום ספרות - אופן חישוב:</t>
  </si>
  <si>
    <t xml:space="preserve">5 * 6 / 2 = </t>
  </si>
  <si>
    <t xml:space="preserve">430,000 - 363,333 = </t>
  </si>
  <si>
    <t>שאלה 5 - ברמת בחינה - להתנסות כיתה - מבחינה שנערכה בסמסטר 2024א - מועד א</t>
  </si>
  <si>
    <t>שאלה 5 - ברמת בחינה - להתנסות כיתה - מבחינה שנערכה בסמסטר 2024א - מועד ב</t>
  </si>
  <si>
    <t xml:space="preserve">עלות </t>
  </si>
  <si>
    <t>ע. מופחתת</t>
  </si>
  <si>
    <t>עלות פריט רכוש קבוע תכלול את כל העלויות</t>
  </si>
  <si>
    <t>שהן חיוניות להבאתו למיקום ולמצב שמיש.</t>
  </si>
  <si>
    <t>במידה ונדרשות לפי חוק עלויות בדיקה,</t>
  </si>
  <si>
    <t>הפריט לא שמיש עד שלא נערכה הבדיקה.</t>
  </si>
  <si>
    <t xml:space="preserve">לכן עלויות הבדיקה הן חלק מעלות הפריט (ולא הוצאה). </t>
  </si>
  <si>
    <t xml:space="preserve">8 * 9 / 2 = </t>
  </si>
  <si>
    <t>מפגשים 8  - אינטגרציה ועריכת דוחות כספיים חלק א</t>
  </si>
  <si>
    <t>ככלל - מלאי הפתיחה הוא הוצאה (חלק מעלות המכר). אך בתור התחלה מוצג כנכס, ואז מעודכן</t>
  </si>
  <si>
    <r>
      <t xml:space="preserve">מכונות - 
פחת נצבר 
</t>
    </r>
    <r>
      <rPr>
        <b/>
        <sz val="12"/>
        <color theme="1"/>
        <rFont val="David"/>
      </rPr>
      <t>1.1</t>
    </r>
    <r>
      <rPr>
        <sz val="12"/>
        <color theme="1"/>
        <rFont val="David"/>
      </rPr>
      <t>.20</t>
    </r>
  </si>
  <si>
    <r>
      <t xml:space="preserve">הנחות </t>
    </r>
    <r>
      <rPr>
        <b/>
        <sz val="12"/>
        <color theme="1"/>
        <rFont val="David"/>
      </rPr>
      <t>מזומן</t>
    </r>
    <r>
      <rPr>
        <sz val="12"/>
        <color theme="1"/>
        <rFont val="David"/>
      </rPr>
      <t xml:space="preserve">
מספקים</t>
    </r>
  </si>
  <si>
    <r>
      <t xml:space="preserve">הנחות 
</t>
    </r>
    <r>
      <rPr>
        <b/>
        <sz val="12"/>
        <color theme="1"/>
        <rFont val="David"/>
      </rPr>
      <t>מסחריות</t>
    </r>
    <r>
      <rPr>
        <sz val="12"/>
        <color theme="1"/>
        <rFont val="David"/>
      </rPr>
      <t xml:space="preserve">
ללקוח</t>
    </r>
  </si>
  <si>
    <t>המלאי לתום השנה הוא נכס</t>
  </si>
  <si>
    <t>מלאי הסגירה משפיע על עלות המכר</t>
  </si>
  <si>
    <r>
      <t xml:space="preserve">מלאי 
31.12
</t>
    </r>
    <r>
      <rPr>
        <b/>
        <sz val="12"/>
        <rFont val="David"/>
      </rPr>
      <t>מאזן</t>
    </r>
  </si>
  <si>
    <r>
      <t xml:space="preserve">מלאי
31.12
</t>
    </r>
    <r>
      <rPr>
        <b/>
        <sz val="12"/>
        <rFont val="David"/>
      </rPr>
      <t>רוו״ה</t>
    </r>
  </si>
  <si>
    <t>מיון</t>
  </si>
  <si>
    <t xml:space="preserve">של </t>
  </si>
  <si>
    <t>קיימות</t>
  </si>
  <si>
    <t>השלמת</t>
  </si>
  <si>
    <t>סימני</t>
  </si>
  <si>
    <t>שאלה</t>
  </si>
  <si>
    <t>ביתרות קיימות</t>
  </si>
  <si>
    <t>המטרה של שלב זה</t>
  </si>
  <si>
    <t>היא לבטא את הערך של הנתון בחברה</t>
  </si>
  <si>
    <t>לפני כל תיקון או עדכון נדרש</t>
  </si>
  <si>
    <t>מדוע? כי בגין ערך זה החברה כבר</t>
  </si>
  <si>
    <t>רשמה פקודות יומן</t>
  </si>
  <si>
    <t>ולכן השלב הזה ללא פקודות</t>
  </si>
  <si>
    <t>עדכון יתרות</t>
  </si>
  <si>
    <t>לתום</t>
  </si>
  <si>
    <t>המטרה:</t>
  </si>
  <si>
    <t>לעדכון כל</t>
  </si>
  <si>
    <t>הערכים</t>
  </si>
  <si>
    <t>לטובת דוח</t>
  </si>
  <si>
    <t>מעודכן</t>
  </si>
  <si>
    <t>למשקיע</t>
  </si>
  <si>
    <t>עריכת דיווח</t>
  </si>
  <si>
    <t>על בסיס</t>
  </si>
  <si>
    <t>היתרות</t>
  </si>
  <si>
    <t>המעודכנות</t>
  </si>
  <si>
    <t>סיום התרגיל</t>
  </si>
  <si>
    <t>נתון - עלות 900 בתוספת הובלה 100</t>
  </si>
  <si>
    <r>
      <rPr>
        <b/>
        <sz val="12"/>
        <color rgb="FFFF0000"/>
        <rFont val="David"/>
      </rPr>
      <t>בשורה חדשה</t>
    </r>
    <r>
      <rPr>
        <sz val="12"/>
        <color theme="1"/>
        <rFont val="David"/>
      </rPr>
      <t xml:space="preserve"> בטבלת היתרות - הוצאות פחת</t>
    </r>
  </si>
  <si>
    <t>זכות מלאי פתיחה - מאזן (נכסים)</t>
  </si>
  <si>
    <t>חובה מלאי פתיחה - רווח והפסד (הוצאות)</t>
  </si>
  <si>
    <t>לקוחות לפני עדכון</t>
  </si>
  <si>
    <t>הגדלתם בעקבות האירוע</t>
  </si>
  <si>
    <t>לקוחות מעודכן</t>
  </si>
  <si>
    <t>הכנסות ממכירות לפני עדכון</t>
  </si>
  <si>
    <t>הגדלת מכירות בגין האירוע</t>
  </si>
  <si>
    <t>מכירות - מעודכן</t>
  </si>
  <si>
    <t>הוצאות שכר - לפני עדכון</t>
  </si>
  <si>
    <t>עדכון - הגדלה ב-</t>
  </si>
  <si>
    <t>הוצאות שכר - ערך מעודכן</t>
  </si>
  <si>
    <t>בנוסף יש ליצור התחייבות חדשה:</t>
  </si>
  <si>
    <t xml:space="preserve">שורה חדשה - הוצאות לשלם (התחייבות) </t>
  </si>
  <si>
    <t>העלות הכוללת של המחשבים 400, מתוכם נרכשו 75% מהמחשבים ב-1.1.2020</t>
  </si>
  <si>
    <t>והיתר נרכשו ב-1.1.2021</t>
  </si>
  <si>
    <t>המחשבים מופחתים על פני 8 שנים בלי שייר / גרט</t>
  </si>
  <si>
    <t xml:space="preserve">מלאי הסגירה כולל 20 אלפי יחידות בעלות של 8 שח ליח׳, </t>
  </si>
  <si>
    <t>שווי המימוש נטו ליח׳ 6 ש״ח</t>
  </si>
  <si>
    <r>
      <t xml:space="preserve">מחשבים - פחת נצבר 1.1.2021 - </t>
    </r>
    <r>
      <rPr>
        <b/>
        <sz val="12"/>
        <rFont val="David"/>
      </rPr>
      <t>שיחזור 1</t>
    </r>
  </si>
  <si>
    <r>
      <t xml:space="preserve">מלאי סגירה - מאזן - </t>
    </r>
    <r>
      <rPr>
        <b/>
        <sz val="12"/>
        <rFont val="David"/>
      </rPr>
      <t>שיחזור 2</t>
    </r>
  </si>
  <si>
    <t>מפגש 9 - אינטגרציה ועריכת דוחות כספיים חלק ב</t>
  </si>
  <si>
    <t>שאלה 5</t>
  </si>
  <si>
    <t>דוח על השינויים בהון</t>
  </si>
  <si>
    <t>בהתאם לסוגי העסקאות שנלמדו</t>
  </si>
  <si>
    <t xml:space="preserve">במפגש 10 מה - 6.1.2025 פתרנו שאלת מסה מבחינת 2024א מועד א, השאלון והפתרון בקבצים נפרדים באתר. </t>
  </si>
  <si>
    <t xml:space="preserve">במפגש 11 מה - 13.1.2025 ערכנו דוחות כספיים מלאים על בסיס הפתרון (כדי לנעול אותו הרמטית). השאלון והפתרון הוא באותו קובץ נפרד. </t>
  </si>
  <si>
    <t xml:space="preserve">בנוסף, התחלנו (על קצה המזלג) לדון בשאלת המסה ממבחן 2024 מועד ב (קבצים נפרדים באתר). </t>
  </si>
  <si>
    <t>אנחנו מתחילים להתכנס בהיבט התכנים ליישורת האחרונה - עקרונית סיימנו עם רכוש קבוע, ולכן, בהתאם למיקוד</t>
  </si>
  <si>
    <t>הבחינה שכבר פורסם אנחנו כאן:</t>
  </si>
  <si>
    <t>נושא חדש - הון עצמי</t>
  </si>
  <si>
    <t>אנו כבר יודעים, בשלב הזה, שבמאזן, קיימים:</t>
  </si>
  <si>
    <t>התח׳ לא שוטפות (מעל שנה)</t>
  </si>
  <si>
    <t>הצגנו בקצרה במפגשים הראשונים</t>
  </si>
  <si>
    <t>״כל מקור מימון שאיננו</t>
  </si>
  <si>
    <t>אבל היום נעמיק משמעותית</t>
  </si>
  <si>
    <t>התחייבות״</t>
  </si>
  <si>
    <t>ברכיבים</t>
  </si>
  <si>
    <t xml:space="preserve">למעשה, אנו טוענים שלכל נכס חייב להיות מקור מימון ששימש בהיווצרותו. </t>
  </si>
  <si>
    <t xml:space="preserve">מקור המימון יכול להיות התחייבותי (כזה שנובע מהתחייבות, כמו הלוואה), </t>
  </si>
  <si>
    <t xml:space="preserve">או שנובע ממקור שלא יוצר התחייבות (דוגמאות פשוטות ונרחיב בהמשך - השקעת בעלים, רווח שנצבר). </t>
  </si>
  <si>
    <t xml:space="preserve">כל מקור מימון שלא יוצר התחייבות הוא הון עצמי. </t>
  </si>
  <si>
    <t>להון העצמי יש חשיבות מיוחדת כשדנים בחוסן פיננסי (יציבות) של חברות.</t>
  </si>
  <si>
    <t xml:space="preserve">מדוע? </t>
  </si>
  <si>
    <t>משום שאם, באופן יחסי לנכסים, ההתחייבויות נמוכות (מה שמעיד על הון עצמי גבוה) המשמעות היא שהחברה</t>
  </si>
  <si>
    <t xml:space="preserve">איננה צריכה לעמוד בשוטף בתשלומי ריבית וקרן, כך שגם אם החברה תעבור תקופה קשה (עם הפסדים, רווחים נמוכים וכיו״ב) - </t>
  </si>
  <si>
    <t>יש סיכוי גבוה יותר שהיא ״תחזיק מעמד״.</t>
  </si>
  <si>
    <t>פריטי הון עצמי המחייבים בקורס</t>
  </si>
  <si>
    <t>הון מניות הוא המכפלה של מספר המניות המונפקות בערך הנקוב למניה.</t>
  </si>
  <si>
    <t>המשמעות הבסיסית היא - הון מניות משקף את מכלול זכויות הבעלות שחברה מעבירה</t>
  </si>
  <si>
    <t>לבעלים. למה הכוונה?</t>
  </si>
  <si>
    <t>נניח שהקמתי חברה. ובמועד הקמתה, החברה הנפיקה למשקיעים 60,000 מניות</t>
  </si>
  <si>
    <r>
      <t xml:space="preserve">בנות 3 </t>
    </r>
    <r>
      <rPr>
        <b/>
        <sz val="12"/>
        <color theme="1"/>
        <rFont val="David"/>
      </rPr>
      <t>ש״ח</t>
    </r>
    <r>
      <rPr>
        <sz val="12"/>
        <color theme="1"/>
        <rFont val="David"/>
      </rPr>
      <t xml:space="preserve"> ערך נקוב כל אחת.</t>
    </r>
  </si>
  <si>
    <t>הון המניות: 180,000 = 3 * 60,000</t>
  </si>
  <si>
    <t>מה זה אומר, בגסות? נניח שתמר מתעניינת בהשקעה בחברה. והיא רוצה להחזיק</t>
  </si>
  <si>
    <t>ב-10% מהבעלות על החברה.</t>
  </si>
  <si>
    <t>במצב כזה, כדי להגשים את היעד, תמר תצטרך לרכוש 10% מהון המניות 18,000 = 180,000 * 10%.</t>
  </si>
  <si>
    <t xml:space="preserve">בהחלט ייתכן שהשווי של המניות האלו גבוה יותר. </t>
  </si>
  <si>
    <t>בצורה הכי גסה: הון מניות = אחוזי בעלות בחברה; אם חברה שווה ״המון״ שווי מניה יהיה גבוה בהרבה מהון המניות שהיא יוצרת.</t>
  </si>
  <si>
    <t>אם הון מניות הוא גודל טכני (מס׳ מניות * ערך נקוב) ולא שווי כלכלי / תמורה שמתקבלת בעד המניות, איך מטפלים בהפרש?</t>
  </si>
  <si>
    <t>פרמיה:</t>
  </si>
  <si>
    <t xml:space="preserve">פרמיה היא ההפרש בין תמורת ההנפקה (שנשענת על שווי המניות) בין הערך הנקוב של המניות שהונפקו (הון מניות). </t>
  </si>
  <si>
    <t xml:space="preserve">הגודל הזה הוא לגמרי טכני. </t>
  </si>
  <si>
    <t>יתרת עודפים:</t>
  </si>
  <si>
    <t>עודפים מוגדרים בתור יתרת הרווח המצטברת: במלים אחרות, יתרת העודפים גדלה כאשר נוצר רווח;</t>
  </si>
  <si>
    <t>היא קטנה כאשר נוצר הפסד;</t>
  </si>
  <si>
    <t xml:space="preserve">ובנוסף - היא קטנה כאשר מבוצע ייעוד של הרווח חזרה למשקיעים (דיבידנד). </t>
  </si>
  <si>
    <t>באיור המדהים משמאל: הבריכה היא בריכת העודפים / הרווח שנצבר,</t>
  </si>
  <si>
    <t xml:space="preserve">וממנה זולג החוצה (ומקטין אותה) הדיבידנד. </t>
  </si>
  <si>
    <t>שאלה מס׳ 1 - הון מניות ופרמיה</t>
  </si>
  <si>
    <t>בתאריך 21.11.2024 חברת ״תמרים״ בע״מ הוקמה ובמועד זה הונפקו 40,000 מניות בנות 3 ש״ח ערך נקוב (ע״נ) כל אחת.</t>
  </si>
  <si>
    <t>תמורת ההנפקה הסתכמה ב-285,000 ש״ח.</t>
  </si>
  <si>
    <t>בתאריך 15.12.2024 הונפקו 10,000 מניות נוספות בנות 1 ש״ח ערך נקוב (ע״נ) כל אחת, בתמורה ל-88,000 ש״ח.</t>
  </si>
  <si>
    <t>נדרש: הציגו את השינויים בסעיפי ההון העצמי הנובעים מאירועים אלו בשנת 2024.</t>
  </si>
  <si>
    <t>הון מניות
3 ש״ח ע״נ</t>
  </si>
  <si>
    <t>הון מניות
1 ש״ח ע״נ</t>
  </si>
  <si>
    <t>פרמיה</t>
  </si>
  <si>
    <t>סה״כ הון עצמי</t>
  </si>
  <si>
    <t>הנפקת מניות בהקמה - 21.11.2024</t>
  </si>
  <si>
    <t>הנפקת מניות נוספות - 15.12.2024</t>
  </si>
  <si>
    <r>
      <rPr>
        <u/>
        <sz val="9"/>
        <color theme="1"/>
        <rFont val="David"/>
      </rPr>
      <t>הון מניות</t>
    </r>
    <r>
      <rPr>
        <sz val="9"/>
        <color theme="1"/>
        <rFont val="David"/>
      </rPr>
      <t>: מס׳ מניות * ערך נקוב למניה</t>
    </r>
  </si>
  <si>
    <r>
      <rPr>
        <u/>
        <sz val="9"/>
        <color theme="1"/>
        <rFont val="David"/>
      </rPr>
      <t>סה״כ הון עצמי</t>
    </r>
    <r>
      <rPr>
        <sz val="9"/>
        <color theme="1"/>
        <rFont val="David"/>
      </rPr>
      <t>: כשמדובר בהנפקת</t>
    </r>
  </si>
  <si>
    <t>מניות, שווה לתמורת ההנפקה נטו</t>
  </si>
  <si>
    <r>
      <rPr>
        <u/>
        <sz val="9"/>
        <color theme="1"/>
        <rFont val="David"/>
      </rPr>
      <t>פרמיה</t>
    </r>
    <r>
      <rPr>
        <sz val="9"/>
        <color theme="1"/>
        <rFont val="David"/>
      </rPr>
      <t>: הפרש בין תמורת ההנפקה</t>
    </r>
  </si>
  <si>
    <t>לערך הנקוב שהונפק (הון מניות)</t>
  </si>
  <si>
    <t xml:space="preserve">סוגיות נוספות לגבי הון מניות ופרמיה: </t>
  </si>
  <si>
    <t xml:space="preserve">א. גם הנפקת מניות בתמורה לנכסים שאינם מזומן - יוצרת שינוי בהון העצמי בהתאם. </t>
  </si>
  <si>
    <t xml:space="preserve">ב. אם נוצרו עלויות הנפקת מניות בעסקת ההנפקה, כגון עלויות משפטיות, הן ישפיעו על סך השינוי בהון ועל הפרמיה. </t>
  </si>
  <si>
    <t xml:space="preserve">ג. לעתים חברות מבצעות פיצול מניות - ללא שינוי בערכן הנקוב. פעולה זו לא משפיעה על סך ההון העצמי אלא על הרכבו. </t>
  </si>
  <si>
    <t>ה. אם חברה מנפיקה מניות ללא תמורה למשקיעים קיימים - מדובר בהטבה לבעלי המניות - מניות הטבה: עלייה בהון המניות וירידה בפרמיה.</t>
  </si>
  <si>
    <t>שאלה 2 - הון מניות ופרמיה, סוגיות נוספות</t>
  </si>
  <si>
    <t xml:space="preserve">חברת ״ליקו פיט״ בע״מ הוקמה ב-1.1.2024. </t>
  </si>
  <si>
    <t xml:space="preserve">במועד הקמתה, הנפיקה החברה 40,000 מניות בנות 5 ש״ח ערך נקוב כל אחת, בתמורה ל-500,000 ש״ח. </t>
  </si>
  <si>
    <t xml:space="preserve">עלויות ההנפקה בעסקה הסתכמו בסכום של 22,000 ש״ח. </t>
  </si>
  <si>
    <t>לאור עלייה משמעותית בשווי המניה, ביצעה החברה פיצול מניות: כך שכל מי שהחזיק במניה בת 5 ש״ח ערך נקוב,</t>
  </si>
  <si>
    <t xml:space="preserve">קיבל במקומה 5 מניות בנות 1 ש״ח ערך נקוב. </t>
  </si>
  <si>
    <t>כמו כן, בהמשך השנה, החברה הנפיקה 12,000 מניות בנות 1 ש״ח ערך נקוב כל אחת, בתמורה למכונות חימום נקניק</t>
  </si>
  <si>
    <t>ששוויין ההוגן 200,000 ש״ח.</t>
  </si>
  <si>
    <t>לקראת סוף השנה, הנפיקה החברה מניות הטבה בשיעור של 10% לבעלי המניות.</t>
  </si>
  <si>
    <t xml:space="preserve">נדרש: הציגו את השינויים בסעיפי ההון העצמי כתוצאה מהעסקאות המתוארות באירוע. </t>
  </si>
  <si>
    <t>הון מניות
5 ש״ח ע״נ</t>
  </si>
  <si>
    <t>סך השינוי
בהון העצמי</t>
  </si>
  <si>
    <t>הנפקת מניות 1.1.2024</t>
  </si>
  <si>
    <t>פיצול מניות</t>
  </si>
  <si>
    <t>הנפקת מניות בתמורה למ.נק</t>
  </si>
  <si>
    <t>הנפקת מניות הטבה</t>
  </si>
  <si>
    <t>הנפקת הטבה: מגדילה את הערך הנקוב של המניות הזכאיות להטבה בשיעור ההטבה.</t>
  </si>
  <si>
    <t xml:space="preserve">כאן - המניות היחידות שקיימות ערב ההטבה אלו מניות 1 ש״ח ערך נקוב. </t>
  </si>
  <si>
    <t>בסך הכל, ישנן 212,000 ערך נקוב מניות כאלו = 12,000 + 200,000</t>
  </si>
  <si>
    <t>וההטבה, שהיא בשיעור 10%, מחושבת מתוך סכום זה: 21,200 = 212,000 * 10%</t>
  </si>
  <si>
    <t>שאלה 3 - הון מניות, פרמיה - רווח ודיבידנדים (עודפים)</t>
  </si>
  <si>
    <t>בחברת ״אדי הסעדה״ שהוקמה ב-1.1.2023 בוצעו הפעולות הבאות במהלך שנה זו:</t>
  </si>
  <si>
    <t xml:space="preserve">הונפקו 30,000 מניות בנות 4 ש״ח ערך נקוב תמורת 190,000 ש״ח, עלויות הנפקה: 5,000. </t>
  </si>
  <si>
    <t>בוצע פיצול מניות: כל המחזיק במניה בת 4 ש״ח, קיבל במקומה 4 מניות 1 ש״ח.</t>
  </si>
  <si>
    <t>הונפקו מניות הטבה בשיעור 10%.</t>
  </si>
  <si>
    <t>הונפקו מניות כנגד נכסי נקניק ששוויים ההוגן 140,000 ש״ח. בסך הכל הונפקו 20,000 מניות בנות 1 ש״ח ע״נ.</t>
  </si>
  <si>
    <t>רווחי החברה לשנת 2024 הסתכמו ב-700,000 ש״ח.</t>
  </si>
  <si>
    <t xml:space="preserve">החברה הכריזה (התחייבה לשלם) למשקיעים (בעלי מניות) דיבידנד בסך 240,000 ש״ח. סכום  </t>
  </si>
  <si>
    <t xml:space="preserve">של 140,000 ש״ח שולם באותו היום, היתרה תשולם בתחילת 2025. </t>
  </si>
  <si>
    <t xml:space="preserve">נדרש: הציגו את הדוח על השינויים בהון העצמי (יפרט את השינויים בכל רכיב הון, ויסכום את הערכים). </t>
  </si>
  <si>
    <t>הון מניות
4 ש״ח ע״נ</t>
  </si>
  <si>
    <t>עודפים
(יתרת רווח)</t>
  </si>
  <si>
    <t>הנפקת מניות</t>
  </si>
  <si>
    <t>הנפקת הטבה</t>
  </si>
  <si>
    <t>הנפקת מניות כנגד רכוש קבוע</t>
  </si>
  <si>
    <t>רווח השנה (נקי)</t>
  </si>
  <si>
    <t>דיבידנד</t>
  </si>
  <si>
    <t>סה״כ / יתרות לדיווח</t>
  </si>
  <si>
    <t xml:space="preserve">דיבידנד מתועד בסימן שלילי בעודפים ובהון העצמי בהתאם לסכום הכולל שהחברה התחייבה לחלק, בין אם חילקה אותו במהלך השנה, </t>
  </si>
  <si>
    <t xml:space="preserve">בין אם לאו. </t>
  </si>
  <si>
    <t>שאלה 4 - שאלה נוספת לתרגול כיתה</t>
  </si>
  <si>
    <t xml:space="preserve">חברת ״אבנרים״ בע״מ הוקמה ב-1.1.2004. </t>
  </si>
  <si>
    <t xml:space="preserve">החברה עוסקת במתן שירותי חימום נקניקי סויה לעובדי הייטק. </t>
  </si>
  <si>
    <t>להלן נתונים בדבר עסקאות ואירועים בחברה:</t>
  </si>
  <si>
    <t>הונפקו 50,000 מניות בנות 3 ש״ח ערך נקוב כל אחת בתמורה ל-170,000 ש״ח. עלויות הנפקה: 7,000.</t>
  </si>
  <si>
    <t>הונפקו 40,000 מניות בנות 1 ש״ח ערך נקוב כל אחת בתמורה ל-90,000 ש״ח.</t>
  </si>
  <si>
    <t>הונפקו מניות הטבה בשיעור 5%.</t>
  </si>
  <si>
    <t>בוצע פיצול מניות כך שכל המחזיק במניה בת 3 ש״ח ע״נ קיבל במקומה 3 מניות בנות 1 ש״ח ע״נ.</t>
  </si>
  <si>
    <t>הונפקו 10,000 מניות בנות 1 ש״ח ע״נ בתמורה למלאי נקניקי סויה ששוויו 80,000 ש״ח.</t>
  </si>
  <si>
    <t>הרווח הנקי בחברה הסתכם ב-400,000 ש״ח. החברה חילקה לבעלי המניות דיבידנד בשיעור של 15%</t>
  </si>
  <si>
    <t>מערכן הנקוב.</t>
  </si>
  <si>
    <t xml:space="preserve">נדרש: הציגו את הדוח על השינויים בהון העצמי. </t>
  </si>
  <si>
    <t>פתרון באדיבות: תמר סניף ת״א</t>
  </si>
  <si>
    <t>שאלות הקהל:</t>
  </si>
  <si>
    <t>א. איך הגעת ל-9,500 בשורת מניות ההטבה?</t>
  </si>
  <si>
    <t>בהתאם להגדרת ההטבה, הונפקו 7,500 ערך נקוב מניות 3 ש״ח ו-2,000 ערך נקוב מניות 1 ש״ח.</t>
  </si>
  <si>
    <t>הואיל ותמורת ההנפקה 0, יש להקטין את הפרמיה בסיכום הערכים של הערך הנקוב שנוצר: 9,500-.</t>
  </si>
  <si>
    <t>ב. איך הגעת ל157,500- ב-31/3? התשובה היא סכמתי את הון המניות 3 ש״ח ערך נקוב שהתפצלו, איפסתי אותן</t>
  </si>
  <si>
    <t>על ידי הקטנתן בסכום זה, והוספתי ערך זה למניות 1 ש״ח ע״נ.</t>
  </si>
  <si>
    <t>ג. מה קרה ב-31/12/2024?</t>
  </si>
  <si>
    <t>אירוע 1 - רווח נקי בסך 400,000 ש״ח שנזקף ליתרת העודפים / יתרת הרווח ולסך ההון בסימן חיובי.</t>
  </si>
  <si>
    <t>אירוע 2 - דיבידנד, שלפי הנתון מהווה 15% מהערך הנקוב. לשם חישוב ערכו, הייתי צריך לסכום</t>
  </si>
  <si>
    <t>את הערך הנקוב של כל המניות הקיימות (רק מניות 1 ש״ח ערך נקוב - 209,500) ואת הסכום</t>
  </si>
  <si>
    <t>הזה לכפול ב-15%. התוצאה שהיא 31,425 נרשמה כסכום דיבידנד שמקטין את העודפים וההון העצמי</t>
  </si>
  <si>
    <t xml:space="preserve">בסכום זה. </t>
  </si>
  <si>
    <t>שיעור 12 - מנהלות ונושא אחרון - הון עצמי</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</si>
</sst>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9">
    <numFmt numFmtId="43" formatCode="_(* #,##0.00_);_(* \(#,##0.00\);_(* &quot;-&quot;??_);_(@_)"/>
    <numFmt numFmtId="164" formatCode="_(* #,##0_);_(* \(#,##0\);_(* &quot;-&quot;??_);_(@_)"/>
    <numFmt numFmtId="165" formatCode="0.000"/>
    <numFmt numFmtId="166" formatCode="#,##0.000_);\(#,##0.000\)"/>
    <numFmt numFmtId="167" formatCode="0.0_);\(0.0\)"/>
    <numFmt numFmtId="168" formatCode="0_);\(0\)"/>
    <numFmt numFmtId="169" formatCode="0.00_);\(0.00\)"/>
    <numFmt numFmtId="170" formatCode="#,##0.0_);\(#,##0.0\)"/>
    <numFmt numFmtId="171" formatCode="#,##0.0"/>
  </numFmts>
  <fonts count="50" x14ac:knownFonts="1">
    <font>
      <sz val="12"/>
      <color theme="1"/>
      <name val="Calibri"/>
      <family val="2"/>
      <scheme val="minor"/>
    </font>
    <font>
      <sz val="12"/>
      <color theme="1"/>
      <name val="David"/>
    </font>
    <font>
      <b/>
      <sz val="12"/>
      <color theme="1"/>
      <name val="David"/>
    </font>
    <font>
      <sz val="12"/>
      <color rgb="FFFF0000"/>
      <name val="David"/>
    </font>
    <font>
      <sz val="12"/>
      <color theme="0"/>
      <name val="David"/>
    </font>
    <font>
      <b/>
      <sz val="28"/>
      <color theme="1"/>
      <name val="David"/>
    </font>
    <font>
      <sz val="12"/>
      <name val="David"/>
    </font>
    <font>
      <b/>
      <sz val="12"/>
      <name val="David"/>
    </font>
    <font>
      <b/>
      <sz val="12"/>
      <color rgb="FFFF0000"/>
      <name val="David"/>
    </font>
    <font>
      <sz val="11"/>
      <color theme="1"/>
      <name val="David"/>
    </font>
    <font>
      <sz val="10"/>
      <color theme="1"/>
      <name val="David"/>
    </font>
    <font>
      <u/>
      <sz val="12"/>
      <color theme="10"/>
      <name val="Calibri"/>
      <family val="2"/>
      <scheme val="minor"/>
    </font>
    <font>
      <u/>
      <sz val="12"/>
      <color theme="10"/>
      <name val="David"/>
    </font>
    <font>
      <b/>
      <sz val="12"/>
      <color rgb="FF0070C0"/>
      <name val="David"/>
    </font>
    <font>
      <u/>
      <sz val="12"/>
      <color theme="1"/>
      <name val="David"/>
    </font>
    <font>
      <sz val="12"/>
      <color rgb="FF0070C0"/>
      <name val="David"/>
    </font>
    <font>
      <b/>
      <sz val="14"/>
      <color theme="1"/>
      <name val="David"/>
    </font>
    <font>
      <sz val="12"/>
      <color theme="1"/>
      <name val="Calibri"/>
      <family val="2"/>
      <scheme val="minor"/>
    </font>
    <font>
      <b/>
      <u/>
      <sz val="12"/>
      <color theme="1"/>
      <name val="David"/>
    </font>
    <font>
      <u/>
      <sz val="12"/>
      <color rgb="FFFF0000"/>
      <name val="David"/>
    </font>
    <font>
      <b/>
      <sz val="12"/>
      <color rgb="FF942092"/>
      <name val="David"/>
    </font>
    <font>
      <b/>
      <sz val="16"/>
      <color theme="1"/>
      <name val="David"/>
    </font>
    <font>
      <sz val="8"/>
      <color theme="1"/>
      <name val="David"/>
    </font>
    <font>
      <b/>
      <u/>
      <sz val="12"/>
      <color rgb="FF0070C0"/>
      <name val="David"/>
    </font>
    <font>
      <sz val="12"/>
      <color rgb="FF000000"/>
      <name val="David"/>
    </font>
    <font>
      <b/>
      <u/>
      <sz val="12"/>
      <color rgb="FF000000"/>
      <name val="David"/>
    </font>
    <font>
      <b/>
      <sz val="12"/>
      <color rgb="FF00B050"/>
      <name val="David"/>
    </font>
    <font>
      <b/>
      <sz val="18"/>
      <color theme="1"/>
      <name val="David"/>
    </font>
    <font>
      <b/>
      <u/>
      <sz val="12"/>
      <name val="David"/>
    </font>
    <font>
      <b/>
      <sz val="28"/>
      <name val="David"/>
    </font>
    <font>
      <u/>
      <sz val="12"/>
      <name val="David"/>
    </font>
    <font>
      <sz val="10"/>
      <name val="David"/>
    </font>
    <font>
      <b/>
      <sz val="12"/>
      <color rgb="FFFF0000"/>
      <name val="Calibri"/>
      <family val="2"/>
      <scheme val="minor"/>
    </font>
    <font>
      <sz val="11"/>
      <name val="David"/>
    </font>
    <font>
      <b/>
      <sz val="12"/>
      <color rgb="FF000000"/>
      <name val="David"/>
    </font>
    <font>
      <b/>
      <sz val="12"/>
      <color rgb="FF00B0F0"/>
      <name val="David"/>
    </font>
    <font>
      <b/>
      <sz val="10"/>
      <color theme="1"/>
      <name val="David"/>
    </font>
    <font>
      <sz val="9"/>
      <name val="David"/>
    </font>
    <font>
      <b/>
      <sz val="12"/>
      <color theme="0"/>
      <name val="David"/>
    </font>
    <font>
      <sz val="8"/>
      <name val="Calibri"/>
      <family val="2"/>
      <scheme val="minor"/>
    </font>
    <font>
      <sz val="12"/>
      <color theme="0" tint="-0.34998626667073579"/>
      <name val="David"/>
    </font>
    <font>
      <sz val="9"/>
      <color theme="1"/>
      <name val="David"/>
    </font>
    <font>
      <i/>
      <sz val="12"/>
      <color theme="1"/>
      <name val="David"/>
    </font>
    <font>
      <sz val="12"/>
      <color rgb="FF00B050"/>
      <name val="David"/>
    </font>
    <font>
      <b/>
      <sz val="18"/>
      <name val="David"/>
    </font>
    <font>
      <sz val="10"/>
      <color theme="0"/>
      <name val="David"/>
    </font>
    <font>
      <sz val="8"/>
      <name val="David"/>
    </font>
    <font>
      <b/>
      <sz val="13"/>
      <color theme="1"/>
      <name val="David"/>
    </font>
    <font>
      <sz val="13"/>
      <color theme="1"/>
      <name val="David"/>
    </font>
    <font>
      <u/>
      <sz val="9"/>
      <color theme="1"/>
      <name val="David"/>
    </font>
  </fonts>
  <fills count="26">
    <fill>
      <patternFill patternType="none"/>
    </fill>
    <fill>
      <patternFill patternType="gray125"/>
    </fill>
    <fill>
      <patternFill patternType="solid">
        <fgColor rgb="FFFFFF00"/>
        <bgColor indexed="64"/>
      </patternFill>
    </fill>
    <fill>
      <patternFill patternType="solid">
        <fgColor rgb="FF92D050"/>
        <bgColor indexed="64"/>
      </patternFill>
    </fill>
    <fill>
      <patternFill patternType="solid">
        <fgColor rgb="FFFFC000"/>
        <bgColor indexed="64"/>
      </patternFill>
    </fill>
    <fill>
      <patternFill patternType="solid">
        <fgColor theme="9" tint="0.59999389629810485"/>
        <bgColor indexed="64"/>
      </patternFill>
    </fill>
    <fill>
      <patternFill patternType="solid">
        <fgColor theme="4" tint="0.79998168889431442"/>
        <bgColor indexed="64"/>
      </patternFill>
    </fill>
    <fill>
      <patternFill patternType="solid">
        <fgColor theme="5" tint="0.79998168889431442"/>
        <bgColor indexed="64"/>
      </patternFill>
    </fill>
    <fill>
      <patternFill patternType="solid">
        <fgColor theme="7" tint="0.39997558519241921"/>
        <bgColor indexed="64"/>
      </patternFill>
    </fill>
    <fill>
      <patternFill patternType="solid">
        <fgColor theme="5" tint="0.59999389629810485"/>
        <bgColor indexed="64"/>
      </patternFill>
    </fill>
    <fill>
      <patternFill patternType="solid">
        <fgColor theme="9" tint="0.79998168889431442"/>
        <bgColor indexed="64"/>
      </patternFill>
    </fill>
    <fill>
      <patternFill patternType="solid">
        <fgColor theme="7" tint="0.59999389629810485"/>
        <bgColor indexed="64"/>
      </patternFill>
    </fill>
    <fill>
      <patternFill patternType="solid">
        <fgColor theme="5" tint="0.39997558519241921"/>
        <bgColor indexed="64"/>
      </patternFill>
    </fill>
    <fill>
      <patternFill patternType="solid">
        <fgColor theme="7" tint="-0.249977111117893"/>
        <bgColor indexed="64"/>
      </patternFill>
    </fill>
    <fill>
      <patternFill patternType="solid">
        <fgColor theme="2"/>
        <bgColor indexed="64"/>
      </patternFill>
    </fill>
    <fill>
      <patternFill patternType="solid">
        <fgColor rgb="FFFFA1F0"/>
        <bgColor indexed="64"/>
      </patternFill>
    </fill>
    <fill>
      <patternFill patternType="solid">
        <fgColor theme="1"/>
        <bgColor indexed="64"/>
      </patternFill>
    </fill>
    <fill>
      <patternFill patternType="solid">
        <fgColor theme="2" tint="-9.9978637043366805E-2"/>
        <bgColor indexed="64"/>
      </patternFill>
    </fill>
    <fill>
      <patternFill patternType="solid">
        <fgColor theme="8" tint="0.59999389629810485"/>
        <bgColor indexed="64"/>
      </patternFill>
    </fill>
    <fill>
      <patternFill patternType="solid">
        <fgColor theme="7" tint="0.79998168889431442"/>
        <bgColor indexed="64"/>
      </patternFill>
    </fill>
    <fill>
      <patternFill patternType="solid">
        <fgColor theme="9" tint="0.39997558519241921"/>
        <bgColor indexed="64"/>
      </patternFill>
    </fill>
    <fill>
      <patternFill patternType="solid">
        <fgColor rgb="FFFF8AD8"/>
        <bgColor indexed="64"/>
      </patternFill>
    </fill>
    <fill>
      <patternFill patternType="solid">
        <fgColor rgb="FF73FEFF"/>
        <bgColor indexed="64"/>
      </patternFill>
    </fill>
    <fill>
      <patternFill patternType="solid">
        <fgColor theme="0"/>
        <bgColor indexed="64"/>
      </patternFill>
    </fill>
    <fill>
      <patternFill patternType="solid">
        <fgColor theme="6" tint="0.79998168889431442"/>
        <bgColor indexed="64"/>
      </patternFill>
    </fill>
    <fill>
      <patternFill patternType="solid">
        <fgColor theme="0" tint="-0.249977111117893"/>
        <bgColor indexed="64"/>
      </patternFill>
    </fill>
  </fills>
  <borders count="31">
    <border>
      <left/>
      <right/>
      <top/>
      <bottom/>
      <diagonal/>
    </border>
    <border>
      <left/>
      <right/>
      <top/>
      <bottom style="thin">
        <color indexed="64"/>
      </bottom>
      <diagonal/>
    </border>
    <border>
      <left style="medium">
        <color indexed="64"/>
      </left>
      <right style="medium">
        <color indexed="64"/>
      </right>
      <top style="medium">
        <color indexed="64"/>
      </top>
      <bottom style="medium">
        <color indexed="64"/>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bottom style="medium">
        <color indexed="64"/>
      </bottom>
      <diagonal/>
    </border>
    <border>
      <left/>
      <right style="medium">
        <color indexed="64"/>
      </right>
      <top/>
      <bottom style="medium">
        <color indexed="64"/>
      </bottom>
      <diagonal/>
    </border>
    <border>
      <left/>
      <right/>
      <top style="thin">
        <color indexed="64"/>
      </top>
      <bottom style="thin">
        <color indexed="64"/>
      </bottom>
      <diagonal/>
    </border>
    <border>
      <left/>
      <right/>
      <top style="thin">
        <color auto="1"/>
      </top>
      <bottom style="dashed">
        <color auto="1"/>
      </bottom>
      <diagonal/>
    </border>
    <border>
      <left/>
      <right/>
      <top style="thin">
        <color auto="1"/>
      </top>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bottom/>
      <diagonal/>
    </border>
    <border>
      <left/>
      <right style="medium">
        <color indexed="64"/>
      </right>
      <top/>
      <bottom/>
      <diagonal/>
    </border>
    <border>
      <left style="medium">
        <color indexed="64"/>
      </left>
      <right/>
      <top style="thin">
        <color auto="1"/>
      </top>
      <bottom style="medium">
        <color indexed="64"/>
      </bottom>
      <diagonal/>
    </border>
    <border>
      <left/>
      <right style="medium">
        <color indexed="64"/>
      </right>
      <top style="thin">
        <color auto="1"/>
      </top>
      <bottom style="medium">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right/>
      <top style="medium">
        <color indexed="64"/>
      </top>
      <bottom style="medium">
        <color indexed="64"/>
      </bottom>
      <diagonal/>
    </border>
    <border>
      <left/>
      <right/>
      <top style="medium">
        <color indexed="64"/>
      </top>
      <bottom/>
      <diagonal/>
    </border>
    <border>
      <left/>
      <right/>
      <top/>
      <bottom style="medium">
        <color indexed="64"/>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right/>
      <top style="thin">
        <color indexed="64"/>
      </top>
      <bottom style="medium">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medium">
        <color indexed="64"/>
      </top>
      <bottom style="thin">
        <color indexed="64"/>
      </bottom>
      <diagonal/>
    </border>
    <border diagonalUp="1" diagonalDown="1">
      <left/>
      <right/>
      <top/>
      <bottom/>
      <diagonal style="thin">
        <color auto="1"/>
      </diagonal>
    </border>
  </borders>
  <cellStyleXfs count="3">
    <xf numFmtId="0" fontId="0" fillId="0" borderId="0"/>
    <xf numFmtId="0" fontId="11" fillId="0" borderId="0" applyNumberFormat="0" applyFill="0" applyBorder="0" applyAlignment="0" applyProtection="0"/>
    <xf numFmtId="43" fontId="17" fillId="0" borderId="0" applyFont="0" applyFill="0" applyBorder="0" applyAlignment="0" applyProtection="0"/>
  </cellStyleXfs>
  <cellXfs count="642">
    <xf numFmtId="0" fontId="0" fillId="0" borderId="0" xfId="0"/>
    <xf numFmtId="0" fontId="1" fillId="0" borderId="0" xfId="0" applyFont="1"/>
    <xf numFmtId="0" fontId="2" fillId="0" borderId="0" xfId="0" applyFont="1"/>
    <xf numFmtId="0" fontId="1" fillId="2" borderId="0" xfId="0" applyFont="1" applyFill="1"/>
    <xf numFmtId="0" fontId="2" fillId="3" borderId="0" xfId="0" applyFont="1" applyFill="1"/>
    <xf numFmtId="0" fontId="1" fillId="3" borderId="0" xfId="0" applyFont="1" applyFill="1"/>
    <xf numFmtId="0" fontId="1" fillId="0" borderId="0" xfId="0" applyFont="1" applyAlignment="1">
      <alignment horizontal="center"/>
    </xf>
    <xf numFmtId="0" fontId="2" fillId="2" borderId="0" xfId="0" applyFont="1" applyFill="1"/>
    <xf numFmtId="0" fontId="3" fillId="0" borderId="0" xfId="0" applyFont="1"/>
    <xf numFmtId="0" fontId="2" fillId="0" borderId="1" xfId="0" applyFont="1" applyBorder="1" applyAlignment="1">
      <alignment horizontal="center"/>
    </xf>
    <xf numFmtId="0" fontId="1" fillId="4" borderId="0" xfId="0" applyFont="1" applyFill="1"/>
    <xf numFmtId="0" fontId="5" fillId="2" borderId="0" xfId="0" applyFont="1" applyFill="1"/>
    <xf numFmtId="0" fontId="4" fillId="0" borderId="0" xfId="0" applyFont="1"/>
    <xf numFmtId="0" fontId="6" fillId="0" borderId="0" xfId="0" applyFont="1"/>
    <xf numFmtId="0" fontId="7" fillId="0" borderId="0" xfId="0" applyFont="1"/>
    <xf numFmtId="0" fontId="6" fillId="0" borderId="0" xfId="0" applyFont="1" applyAlignment="1">
      <alignment horizontal="center"/>
    </xf>
    <xf numFmtId="0" fontId="1" fillId="5" borderId="0" xfId="0" applyFont="1" applyFill="1"/>
    <xf numFmtId="0" fontId="1" fillId="0" borderId="2" xfId="0" applyFont="1" applyBorder="1" applyAlignment="1">
      <alignment horizontal="center"/>
    </xf>
    <xf numFmtId="0" fontId="1" fillId="0" borderId="3" xfId="0" applyFont="1" applyBorder="1"/>
    <xf numFmtId="0" fontId="1" fillId="0" borderId="4" xfId="0" applyFont="1" applyBorder="1"/>
    <xf numFmtId="0" fontId="1" fillId="0" borderId="5" xfId="0" applyFont="1" applyBorder="1"/>
    <xf numFmtId="0" fontId="1" fillId="0" borderId="6" xfId="0" applyFont="1" applyBorder="1"/>
    <xf numFmtId="0" fontId="1" fillId="0" borderId="2" xfId="0" applyFont="1" applyBorder="1"/>
    <xf numFmtId="37" fontId="1" fillId="0" borderId="0" xfId="0" applyNumberFormat="1" applyFont="1"/>
    <xf numFmtId="3" fontId="1" fillId="0" borderId="0" xfId="0" applyNumberFormat="1" applyFont="1"/>
    <xf numFmtId="0" fontId="1" fillId="0" borderId="1" xfId="0" applyFont="1" applyBorder="1"/>
    <xf numFmtId="3" fontId="1" fillId="0" borderId="2" xfId="0" applyNumberFormat="1" applyFont="1" applyBorder="1"/>
    <xf numFmtId="3" fontId="1" fillId="4" borderId="0" xfId="0" applyNumberFormat="1" applyFont="1" applyFill="1"/>
    <xf numFmtId="0" fontId="9" fillId="0" borderId="0" xfId="0" applyFont="1"/>
    <xf numFmtId="0" fontId="10" fillId="0" borderId="0" xfId="0" applyFont="1"/>
    <xf numFmtId="0" fontId="1" fillId="0" borderId="0" xfId="0" applyFont="1" applyAlignment="1">
      <alignment wrapText="1"/>
    </xf>
    <xf numFmtId="0" fontId="1" fillId="2" borderId="0" xfId="0" applyFont="1" applyFill="1" applyAlignment="1">
      <alignment wrapText="1"/>
    </xf>
    <xf numFmtId="0" fontId="3" fillId="0" borderId="1" xfId="0" applyFont="1" applyBorder="1"/>
    <xf numFmtId="0" fontId="1" fillId="6" borderId="0" xfId="0" applyFont="1" applyFill="1"/>
    <xf numFmtId="0" fontId="2" fillId="6" borderId="0" xfId="0" applyFont="1" applyFill="1"/>
    <xf numFmtId="0" fontId="12" fillId="0" borderId="0" xfId="1" applyFont="1"/>
    <xf numFmtId="0" fontId="1" fillId="0" borderId="1" xfId="0" applyFont="1" applyBorder="1" applyAlignment="1">
      <alignment horizontal="center"/>
    </xf>
    <xf numFmtId="0" fontId="1" fillId="2" borderId="1" xfId="0" applyFont="1" applyFill="1" applyBorder="1" applyAlignment="1">
      <alignment horizontal="center"/>
    </xf>
    <xf numFmtId="0" fontId="1" fillId="4" borderId="1" xfId="0" applyFont="1" applyFill="1" applyBorder="1" applyAlignment="1">
      <alignment horizontal="center"/>
    </xf>
    <xf numFmtId="0" fontId="1" fillId="0" borderId="7" xfId="0" applyFont="1" applyBorder="1"/>
    <xf numFmtId="0" fontId="1" fillId="0" borderId="7" xfId="0" applyFont="1" applyBorder="1" applyAlignment="1">
      <alignment horizontal="center"/>
    </xf>
    <xf numFmtId="3" fontId="1" fillId="0" borderId="0" xfId="0" applyNumberFormat="1" applyFont="1" applyAlignment="1">
      <alignment horizontal="center"/>
    </xf>
    <xf numFmtId="0" fontId="13" fillId="0" borderId="0" xfId="0" applyFont="1"/>
    <xf numFmtId="0" fontId="1" fillId="0" borderId="7" xfId="0" applyFont="1" applyBorder="1" applyAlignment="1">
      <alignment wrapText="1"/>
    </xf>
    <xf numFmtId="37" fontId="1" fillId="0" borderId="0" xfId="0" applyNumberFormat="1" applyFont="1" applyAlignment="1">
      <alignment horizontal="center"/>
    </xf>
    <xf numFmtId="3" fontId="1" fillId="0" borderId="0" xfId="0" applyNumberFormat="1" applyFont="1" applyAlignment="1">
      <alignment horizontal="right"/>
    </xf>
    <xf numFmtId="0" fontId="3" fillId="0" borderId="0" xfId="0" applyFont="1" applyAlignment="1">
      <alignment horizontal="center"/>
    </xf>
    <xf numFmtId="37" fontId="3" fillId="0" borderId="0" xfId="0" applyNumberFormat="1" applyFont="1" applyAlignment="1">
      <alignment horizontal="center"/>
    </xf>
    <xf numFmtId="3" fontId="3" fillId="0" borderId="0" xfId="0" applyNumberFormat="1" applyFont="1" applyAlignment="1">
      <alignment horizontal="center"/>
    </xf>
    <xf numFmtId="3" fontId="15" fillId="0" borderId="0" xfId="0" applyNumberFormat="1" applyFont="1"/>
    <xf numFmtId="0" fontId="1" fillId="0" borderId="7" xfId="0" applyFont="1" applyBorder="1" applyAlignment="1">
      <alignment horizontal="center" wrapText="1"/>
    </xf>
    <xf numFmtId="0" fontId="3" fillId="0" borderId="0" xfId="0" applyFont="1" applyAlignment="1">
      <alignment horizontal="center" wrapText="1"/>
    </xf>
    <xf numFmtId="0" fontId="1" fillId="0" borderId="8" xfId="0" applyFont="1" applyBorder="1"/>
    <xf numFmtId="0" fontId="1" fillId="7" borderId="0" xfId="0" applyFont="1" applyFill="1"/>
    <xf numFmtId="0" fontId="1" fillId="0" borderId="0" xfId="0" applyFont="1" applyAlignment="1">
      <alignment horizontal="left"/>
    </xf>
    <xf numFmtId="3" fontId="1" fillId="0" borderId="8" xfId="0" applyNumberFormat="1" applyFont="1" applyBorder="1" applyAlignment="1">
      <alignment horizontal="center"/>
    </xf>
    <xf numFmtId="3" fontId="1" fillId="8" borderId="9" xfId="0" applyNumberFormat="1" applyFont="1" applyFill="1" applyBorder="1" applyAlignment="1">
      <alignment horizontal="center"/>
    </xf>
    <xf numFmtId="3" fontId="16" fillId="0" borderId="2" xfId="0" applyNumberFormat="1" applyFont="1" applyBorder="1" applyAlignment="1">
      <alignment horizontal="center"/>
    </xf>
    <xf numFmtId="3" fontId="16" fillId="0" borderId="2" xfId="0" applyNumberFormat="1" applyFont="1" applyBorder="1"/>
    <xf numFmtId="0" fontId="1" fillId="0" borderId="10" xfId="0" applyFont="1" applyBorder="1" applyAlignment="1">
      <alignment horizontal="center"/>
    </xf>
    <xf numFmtId="0" fontId="1" fillId="0" borderId="11" xfId="0" applyFont="1" applyBorder="1" applyAlignment="1">
      <alignment horizontal="center"/>
    </xf>
    <xf numFmtId="3" fontId="1" fillId="0" borderId="12" xfId="0" applyNumberFormat="1" applyFont="1" applyBorder="1" applyAlignment="1">
      <alignment horizontal="center"/>
    </xf>
    <xf numFmtId="0" fontId="1" fillId="0" borderId="13" xfId="0" applyFont="1" applyBorder="1" applyAlignment="1">
      <alignment horizontal="center"/>
    </xf>
    <xf numFmtId="0" fontId="1" fillId="0" borderId="12" xfId="0" applyFont="1" applyBorder="1" applyAlignment="1">
      <alignment horizontal="center"/>
    </xf>
    <xf numFmtId="3" fontId="1" fillId="0" borderId="13" xfId="0" applyNumberFormat="1" applyFont="1" applyBorder="1" applyAlignment="1">
      <alignment horizontal="center"/>
    </xf>
    <xf numFmtId="3" fontId="1" fillId="0" borderId="14" xfId="0" applyNumberFormat="1" applyFont="1" applyBorder="1" applyAlignment="1">
      <alignment horizontal="center"/>
    </xf>
    <xf numFmtId="3" fontId="1" fillId="0" borderId="15" xfId="0" applyNumberFormat="1" applyFont="1" applyBorder="1" applyAlignment="1">
      <alignment horizontal="center"/>
    </xf>
    <xf numFmtId="0" fontId="1" fillId="0" borderId="16" xfId="0" applyFont="1" applyBorder="1"/>
    <xf numFmtId="0" fontId="1" fillId="0" borderId="17" xfId="0" applyFont="1" applyBorder="1"/>
    <xf numFmtId="0" fontId="1" fillId="0" borderId="18" xfId="0" applyFont="1" applyBorder="1"/>
    <xf numFmtId="0" fontId="6" fillId="0" borderId="1" xfId="0" applyFont="1" applyBorder="1"/>
    <xf numFmtId="0" fontId="1" fillId="3" borderId="1" xfId="0" applyFont="1" applyFill="1" applyBorder="1"/>
    <xf numFmtId="0" fontId="1" fillId="3" borderId="8" xfId="0" applyFont="1" applyFill="1" applyBorder="1"/>
    <xf numFmtId="0" fontId="1" fillId="2" borderId="1" xfId="0" applyFont="1" applyFill="1" applyBorder="1"/>
    <xf numFmtId="0" fontId="1" fillId="2" borderId="8" xfId="0" applyFont="1" applyFill="1" applyBorder="1"/>
    <xf numFmtId="0" fontId="6" fillId="2" borderId="0" xfId="0" applyFont="1" applyFill="1"/>
    <xf numFmtId="0" fontId="6" fillId="2" borderId="1" xfId="0" applyFont="1" applyFill="1" applyBorder="1"/>
    <xf numFmtId="0" fontId="6" fillId="9" borderId="0" xfId="0" applyFont="1" applyFill="1"/>
    <xf numFmtId="0" fontId="6" fillId="9" borderId="1" xfId="0" applyFont="1" applyFill="1" applyBorder="1"/>
    <xf numFmtId="0" fontId="1" fillId="9" borderId="0" xfId="0" applyFont="1" applyFill="1"/>
    <xf numFmtId="0" fontId="6" fillId="0" borderId="0" xfId="0" applyFont="1" applyAlignment="1">
      <alignment wrapText="1"/>
    </xf>
    <xf numFmtId="0" fontId="2" fillId="0" borderId="1" xfId="0" applyFont="1" applyBorder="1"/>
    <xf numFmtId="0" fontId="2" fillId="3" borderId="1" xfId="0" applyFont="1" applyFill="1" applyBorder="1"/>
    <xf numFmtId="0" fontId="2" fillId="2" borderId="1" xfId="0" applyFont="1" applyFill="1" applyBorder="1"/>
    <xf numFmtId="0" fontId="7" fillId="9" borderId="0" xfId="0" applyFont="1" applyFill="1"/>
    <xf numFmtId="0" fontId="2" fillId="5" borderId="0" xfId="0" applyFont="1" applyFill="1"/>
    <xf numFmtId="14" fontId="1" fillId="0" borderId="1" xfId="0" applyNumberFormat="1" applyFont="1" applyBorder="1" applyAlignment="1">
      <alignment horizontal="center"/>
    </xf>
    <xf numFmtId="0" fontId="1" fillId="0" borderId="0" xfId="0" applyFont="1" applyAlignment="1">
      <alignment horizontal="right"/>
    </xf>
    <xf numFmtId="3" fontId="1" fillId="2" borderId="2" xfId="0" applyNumberFormat="1" applyFont="1" applyFill="1" applyBorder="1" applyAlignment="1">
      <alignment horizontal="center"/>
    </xf>
    <xf numFmtId="3" fontId="1" fillId="0" borderId="8" xfId="0" applyNumberFormat="1" applyFont="1" applyBorder="1"/>
    <xf numFmtId="3" fontId="1" fillId="11" borderId="19" xfId="0" applyNumberFormat="1" applyFont="1" applyFill="1" applyBorder="1" applyAlignment="1">
      <alignment horizontal="center"/>
    </xf>
    <xf numFmtId="3" fontId="1" fillId="11" borderId="20" xfId="0" applyNumberFormat="1" applyFont="1" applyFill="1" applyBorder="1" applyAlignment="1">
      <alignment horizontal="center"/>
    </xf>
    <xf numFmtId="3" fontId="1" fillId="11" borderId="2" xfId="0" applyNumberFormat="1" applyFont="1" applyFill="1" applyBorder="1"/>
    <xf numFmtId="0" fontId="2" fillId="0" borderId="19" xfId="0" applyFont="1" applyBorder="1" applyAlignment="1">
      <alignment horizontal="right"/>
    </xf>
    <xf numFmtId="0" fontId="2" fillId="0" borderId="21" xfId="0" applyFont="1" applyBorder="1"/>
    <xf numFmtId="0" fontId="2" fillId="0" borderId="20" xfId="0" applyFont="1" applyBorder="1"/>
    <xf numFmtId="0" fontId="1" fillId="10" borderId="0" xfId="0" applyFont="1" applyFill="1"/>
    <xf numFmtId="0" fontId="2" fillId="10" borderId="0" xfId="0" applyFont="1" applyFill="1"/>
    <xf numFmtId="3" fontId="8" fillId="0" borderId="0" xfId="0" applyNumberFormat="1" applyFont="1"/>
    <xf numFmtId="164" fontId="1" fillId="0" borderId="0" xfId="2" applyNumberFormat="1" applyFont="1"/>
    <xf numFmtId="0" fontId="1" fillId="0" borderId="22" xfId="0" applyFont="1" applyBorder="1"/>
    <xf numFmtId="164" fontId="1" fillId="0" borderId="4" xfId="0" applyNumberFormat="1" applyFont="1" applyBorder="1"/>
    <xf numFmtId="0" fontId="13" fillId="0" borderId="23" xfId="0" applyFont="1" applyBorder="1"/>
    <xf numFmtId="0" fontId="1" fillId="0" borderId="23" xfId="0" applyFont="1" applyBorder="1"/>
    <xf numFmtId="164" fontId="8" fillId="0" borderId="23" xfId="2" applyNumberFormat="1" applyFont="1" applyBorder="1"/>
    <xf numFmtId="0" fontId="6" fillId="0" borderId="22" xfId="0" applyFont="1" applyBorder="1"/>
    <xf numFmtId="0" fontId="1" fillId="0" borderId="12" xfId="0" applyFont="1" applyBorder="1"/>
    <xf numFmtId="0" fontId="1" fillId="0" borderId="13" xfId="0" applyFont="1" applyBorder="1"/>
    <xf numFmtId="3" fontId="13" fillId="0" borderId="0" xfId="0" applyNumberFormat="1" applyFont="1"/>
    <xf numFmtId="164" fontId="1" fillId="0" borderId="0" xfId="2" applyNumberFormat="1" applyFont="1" applyBorder="1"/>
    <xf numFmtId="0" fontId="8" fillId="0" borderId="0" xfId="0" applyFont="1"/>
    <xf numFmtId="164" fontId="8" fillId="0" borderId="0" xfId="0" applyNumberFormat="1" applyFont="1"/>
    <xf numFmtId="3" fontId="2" fillId="0" borderId="21" xfId="0" applyNumberFormat="1" applyFont="1" applyBorder="1" applyAlignment="1">
      <alignment horizontal="center"/>
    </xf>
    <xf numFmtId="9" fontId="2" fillId="0" borderId="21" xfId="0" applyNumberFormat="1" applyFont="1" applyBorder="1" applyAlignment="1">
      <alignment horizontal="center"/>
    </xf>
    <xf numFmtId="3" fontId="1" fillId="2" borderId="19" xfId="0" applyNumberFormat="1" applyFont="1" applyFill="1" applyBorder="1" applyAlignment="1">
      <alignment horizontal="center"/>
    </xf>
    <xf numFmtId="3" fontId="1" fillId="2" borderId="20" xfId="0" applyNumberFormat="1" applyFont="1" applyFill="1" applyBorder="1" applyAlignment="1">
      <alignment horizontal="center"/>
    </xf>
    <xf numFmtId="3" fontId="6" fillId="13" borderId="19" xfId="0" applyNumberFormat="1" applyFont="1" applyFill="1" applyBorder="1" applyAlignment="1">
      <alignment horizontal="center"/>
    </xf>
    <xf numFmtId="3" fontId="6" fillId="13" borderId="20" xfId="0" applyNumberFormat="1" applyFont="1" applyFill="1" applyBorder="1" applyAlignment="1">
      <alignment horizontal="center"/>
    </xf>
    <xf numFmtId="9" fontId="1" fillId="0" borderId="0" xfId="0" applyNumberFormat="1" applyFont="1" applyAlignment="1">
      <alignment horizontal="center"/>
    </xf>
    <xf numFmtId="0" fontId="1" fillId="14" borderId="0" xfId="0" applyFont="1" applyFill="1"/>
    <xf numFmtId="14" fontId="1" fillId="0" borderId="0" xfId="0" applyNumberFormat="1" applyFont="1"/>
    <xf numFmtId="0" fontId="1" fillId="0" borderId="21" xfId="0" applyFont="1" applyBorder="1"/>
    <xf numFmtId="0" fontId="15" fillId="0" borderId="0" xfId="0" applyFont="1"/>
    <xf numFmtId="0" fontId="20" fillId="0" borderId="0" xfId="0" applyFont="1"/>
    <xf numFmtId="3" fontId="1" fillId="0" borderId="2" xfId="0" applyNumberFormat="1" applyFont="1" applyBorder="1" applyAlignment="1">
      <alignment horizontal="center"/>
    </xf>
    <xf numFmtId="37" fontId="1" fillId="2" borderId="19" xfId="0" applyNumberFormat="1" applyFont="1" applyFill="1" applyBorder="1" applyAlignment="1">
      <alignment horizontal="center"/>
    </xf>
    <xf numFmtId="37" fontId="1" fillId="2" borderId="21" xfId="0" applyNumberFormat="1" applyFont="1" applyFill="1" applyBorder="1" applyAlignment="1">
      <alignment horizontal="center"/>
    </xf>
    <xf numFmtId="37" fontId="1" fillId="2" borderId="20" xfId="0" applyNumberFormat="1" applyFont="1" applyFill="1" applyBorder="1" applyAlignment="1">
      <alignment horizontal="center"/>
    </xf>
    <xf numFmtId="3" fontId="3" fillId="0" borderId="2" xfId="0" applyNumberFormat="1" applyFont="1" applyBorder="1" applyAlignment="1">
      <alignment horizontal="center"/>
    </xf>
    <xf numFmtId="37" fontId="1" fillId="16" borderId="0" xfId="0" applyNumberFormat="1" applyFont="1" applyFill="1"/>
    <xf numFmtId="0" fontId="24" fillId="0" borderId="0" xfId="0" applyFont="1" applyAlignment="1">
      <alignment readingOrder="2"/>
    </xf>
    <xf numFmtId="37" fontId="1" fillId="0" borderId="2" xfId="0" applyNumberFormat="1" applyFont="1" applyBorder="1"/>
    <xf numFmtId="0" fontId="2" fillId="17" borderId="0" xfId="0" applyFont="1" applyFill="1"/>
    <xf numFmtId="0" fontId="2" fillId="7" borderId="0" xfId="0" applyFont="1" applyFill="1"/>
    <xf numFmtId="37" fontId="1" fillId="0" borderId="8" xfId="0" applyNumberFormat="1" applyFont="1" applyBorder="1" applyAlignment="1">
      <alignment horizontal="center"/>
    </xf>
    <xf numFmtId="0" fontId="1" fillId="2" borderId="0" xfId="0" applyFont="1" applyFill="1" applyAlignment="1">
      <alignment horizontal="right"/>
    </xf>
    <xf numFmtId="0" fontId="1" fillId="14" borderId="0" xfId="0" applyFont="1" applyFill="1" applyAlignment="1">
      <alignment horizontal="center"/>
    </xf>
    <xf numFmtId="14" fontId="1" fillId="14" borderId="1" xfId="0" applyNumberFormat="1" applyFont="1" applyFill="1" applyBorder="1" applyAlignment="1">
      <alignment horizontal="center"/>
    </xf>
    <xf numFmtId="37" fontId="1" fillId="14" borderId="0" xfId="0" applyNumberFormat="1" applyFont="1" applyFill="1" applyAlignment="1">
      <alignment horizontal="center"/>
    </xf>
    <xf numFmtId="37" fontId="1" fillId="14" borderId="8" xfId="0" applyNumberFormat="1" applyFont="1" applyFill="1" applyBorder="1" applyAlignment="1">
      <alignment horizontal="center"/>
    </xf>
    <xf numFmtId="37" fontId="1" fillId="0" borderId="2" xfId="0" applyNumberFormat="1" applyFont="1" applyBorder="1" applyAlignment="1">
      <alignment horizontal="center"/>
    </xf>
    <xf numFmtId="1" fontId="1" fillId="0" borderId="0" xfId="0" applyNumberFormat="1" applyFont="1" applyAlignment="1">
      <alignment horizontal="center"/>
    </xf>
    <xf numFmtId="0" fontId="1" fillId="16" borderId="0" xfId="0" applyFont="1" applyFill="1"/>
    <xf numFmtId="0" fontId="2" fillId="17" borderId="0" xfId="0" applyFont="1" applyFill="1" applyAlignment="1">
      <alignment horizontal="right"/>
    </xf>
    <xf numFmtId="0" fontId="14" fillId="0" borderId="0" xfId="0" applyFont="1"/>
    <xf numFmtId="0" fontId="8" fillId="0" borderId="0" xfId="0" applyFont="1" applyAlignment="1">
      <alignment horizontal="center"/>
    </xf>
    <xf numFmtId="0" fontId="1" fillId="0" borderId="19" xfId="0" applyFont="1" applyBorder="1"/>
    <xf numFmtId="0" fontId="1" fillId="0" borderId="20" xfId="0" applyFont="1" applyBorder="1"/>
    <xf numFmtId="3" fontId="1" fillId="2" borderId="2" xfId="0" applyNumberFormat="1" applyFont="1" applyFill="1" applyBorder="1"/>
    <xf numFmtId="0" fontId="1" fillId="0" borderId="4" xfId="0" applyFont="1" applyBorder="1" applyAlignment="1">
      <alignment horizontal="center"/>
    </xf>
    <xf numFmtId="0" fontId="2" fillId="0" borderId="0" xfId="0" applyFont="1" applyAlignment="1">
      <alignment horizontal="center"/>
    </xf>
    <xf numFmtId="0" fontId="2" fillId="0" borderId="12" xfId="0" applyFont="1" applyBorder="1"/>
    <xf numFmtId="0" fontId="2" fillId="0" borderId="13" xfId="0" applyFont="1" applyBorder="1"/>
    <xf numFmtId="0" fontId="2" fillId="0" borderId="5" xfId="0" applyFont="1" applyBorder="1"/>
    <xf numFmtId="0" fontId="2" fillId="0" borderId="23" xfId="0" applyFont="1" applyBorder="1"/>
    <xf numFmtId="0" fontId="2" fillId="0" borderId="6" xfId="0" applyFont="1" applyBorder="1"/>
    <xf numFmtId="0" fontId="2" fillId="2" borderId="0" xfId="0" applyFont="1" applyFill="1" applyAlignment="1">
      <alignment horizontal="center"/>
    </xf>
    <xf numFmtId="0" fontId="1" fillId="2" borderId="0" xfId="0" applyFont="1" applyFill="1" applyAlignment="1">
      <alignment horizontal="center"/>
    </xf>
    <xf numFmtId="0" fontId="1" fillId="0" borderId="23" xfId="0" applyFont="1" applyBorder="1" applyAlignment="1">
      <alignment horizontal="center"/>
    </xf>
    <xf numFmtId="0" fontId="2" fillId="2" borderId="3" xfId="0" applyFont="1" applyFill="1" applyBorder="1"/>
    <xf numFmtId="0" fontId="2" fillId="2" borderId="22" xfId="0" applyFont="1" applyFill="1" applyBorder="1"/>
    <xf numFmtId="0" fontId="2" fillId="2" borderId="4" xfId="0" applyFont="1" applyFill="1" applyBorder="1"/>
    <xf numFmtId="0" fontId="1" fillId="0" borderId="0" xfId="0" applyFont="1" applyAlignment="1">
      <alignment horizontal="center" wrapText="1"/>
    </xf>
    <xf numFmtId="0" fontId="2" fillId="2" borderId="22" xfId="0" applyFont="1" applyFill="1" applyBorder="1" applyAlignment="1">
      <alignment horizontal="center"/>
    </xf>
    <xf numFmtId="0" fontId="2" fillId="0" borderId="23" xfId="0" applyFont="1" applyBorder="1" applyAlignment="1">
      <alignment horizontal="center"/>
    </xf>
    <xf numFmtId="0" fontId="1" fillId="5" borderId="0" xfId="0" applyFont="1" applyFill="1" applyAlignment="1">
      <alignment horizontal="center"/>
    </xf>
    <xf numFmtId="0" fontId="26" fillId="0" borderId="0" xfId="0" applyFont="1"/>
    <xf numFmtId="0" fontId="26" fillId="2" borderId="2" xfId="0" applyFont="1" applyFill="1" applyBorder="1" applyAlignment="1">
      <alignment horizontal="center"/>
    </xf>
    <xf numFmtId="0" fontId="8" fillId="0" borderId="0" xfId="0" applyFont="1" applyAlignment="1">
      <alignment horizontal="right"/>
    </xf>
    <xf numFmtId="0" fontId="8" fillId="2" borderId="0" xfId="0" applyFont="1" applyFill="1" applyAlignment="1">
      <alignment horizontal="center"/>
    </xf>
    <xf numFmtId="0" fontId="8" fillId="2" borderId="2" xfId="0" applyFont="1" applyFill="1" applyBorder="1" applyAlignment="1">
      <alignment horizontal="center"/>
    </xf>
    <xf numFmtId="0" fontId="1" fillId="0" borderId="21" xfId="0" applyFont="1" applyBorder="1" applyAlignment="1">
      <alignment horizontal="center"/>
    </xf>
    <xf numFmtId="0" fontId="1" fillId="16" borderId="19" xfId="0" applyFont="1" applyFill="1" applyBorder="1" applyAlignment="1">
      <alignment horizontal="center"/>
    </xf>
    <xf numFmtId="0" fontId="1" fillId="5" borderId="3" xfId="0" applyFont="1" applyFill="1" applyBorder="1" applyAlignment="1">
      <alignment horizontal="center"/>
    </xf>
    <xf numFmtId="0" fontId="1" fillId="11" borderId="5" xfId="0" applyFont="1" applyFill="1" applyBorder="1" applyAlignment="1">
      <alignment horizontal="right"/>
    </xf>
    <xf numFmtId="0" fontId="1" fillId="11" borderId="6" xfId="0" applyFont="1" applyFill="1" applyBorder="1" applyAlignment="1">
      <alignment horizontal="center"/>
    </xf>
    <xf numFmtId="0" fontId="1" fillId="11" borderId="0" xfId="0" applyFont="1" applyFill="1" applyAlignment="1">
      <alignment horizontal="center"/>
    </xf>
    <xf numFmtId="0" fontId="1" fillId="11" borderId="0" xfId="0" applyFont="1" applyFill="1" applyAlignment="1">
      <alignment horizontal="left"/>
    </xf>
    <xf numFmtId="0" fontId="2" fillId="18" borderId="0" xfId="0" applyFont="1" applyFill="1" applyAlignment="1">
      <alignment horizontal="center"/>
    </xf>
    <xf numFmtId="0" fontId="1" fillId="0" borderId="22" xfId="0" applyFont="1" applyBorder="1" applyAlignment="1">
      <alignment horizontal="center"/>
    </xf>
    <xf numFmtId="0" fontId="2" fillId="0" borderId="3" xfId="0" applyFont="1" applyBorder="1"/>
    <xf numFmtId="0" fontId="2" fillId="6" borderId="19" xfId="0" applyFont="1" applyFill="1" applyBorder="1"/>
    <xf numFmtId="0" fontId="2" fillId="6" borderId="21" xfId="0" applyFont="1" applyFill="1" applyBorder="1"/>
    <xf numFmtId="0" fontId="2" fillId="6" borderId="21" xfId="0" applyFont="1" applyFill="1" applyBorder="1" applyAlignment="1">
      <alignment horizontal="center"/>
    </xf>
    <xf numFmtId="0" fontId="2" fillId="6" borderId="20" xfId="0" applyFont="1" applyFill="1" applyBorder="1"/>
    <xf numFmtId="0" fontId="1" fillId="0" borderId="1" xfId="0" applyFont="1" applyBorder="1" applyAlignment="1">
      <alignment horizontal="center" wrapText="1"/>
    </xf>
    <xf numFmtId="0" fontId="2" fillId="2" borderId="0" xfId="0" applyFont="1" applyFill="1" applyAlignment="1">
      <alignment horizontal="right"/>
    </xf>
    <xf numFmtId="0" fontId="8" fillId="2" borderId="0" xfId="0" applyFont="1" applyFill="1"/>
    <xf numFmtId="0" fontId="8" fillId="2" borderId="0" xfId="0" applyFont="1" applyFill="1" applyAlignment="1">
      <alignment wrapText="1"/>
    </xf>
    <xf numFmtId="0" fontId="2" fillId="0" borderId="0" xfId="0" applyFont="1" applyAlignment="1">
      <alignment horizontal="right"/>
    </xf>
    <xf numFmtId="3" fontId="1" fillId="5" borderId="0" xfId="0" applyNumberFormat="1" applyFont="1" applyFill="1" applyAlignment="1">
      <alignment horizontal="center"/>
    </xf>
    <xf numFmtId="37" fontId="1" fillId="0" borderId="0" xfId="0" applyNumberFormat="1" applyFont="1" applyAlignment="1">
      <alignment horizontal="right"/>
    </xf>
    <xf numFmtId="0" fontId="1" fillId="0" borderId="1" xfId="0" applyFont="1" applyBorder="1" applyAlignment="1">
      <alignment horizontal="right"/>
    </xf>
    <xf numFmtId="0" fontId="1" fillId="0" borderId="0" xfId="0" applyFont="1" applyAlignment="1">
      <alignment horizontal="right" wrapText="1"/>
    </xf>
    <xf numFmtId="0" fontId="1" fillId="16" borderId="19" xfId="0" applyFont="1" applyFill="1" applyBorder="1" applyAlignment="1">
      <alignment horizontal="right"/>
    </xf>
    <xf numFmtId="0" fontId="1" fillId="0" borderId="21" xfId="0" applyFont="1" applyBorder="1" applyAlignment="1">
      <alignment horizontal="right"/>
    </xf>
    <xf numFmtId="0" fontId="1" fillId="0" borderId="3" xfId="0" applyFont="1" applyBorder="1" applyAlignment="1">
      <alignment horizontal="right"/>
    </xf>
    <xf numFmtId="0" fontId="1" fillId="0" borderId="22" xfId="0" applyFont="1" applyBorder="1" applyAlignment="1">
      <alignment horizontal="right"/>
    </xf>
    <xf numFmtId="0" fontId="1" fillId="0" borderId="4" xfId="0" applyFont="1" applyBorder="1" applyAlignment="1">
      <alignment horizontal="right"/>
    </xf>
    <xf numFmtId="0" fontId="1" fillId="0" borderId="12" xfId="0" applyFont="1" applyBorder="1" applyAlignment="1">
      <alignment horizontal="right"/>
    </xf>
    <xf numFmtId="0" fontId="1" fillId="0" borderId="13" xfId="0" applyFont="1" applyBorder="1" applyAlignment="1">
      <alignment horizontal="right"/>
    </xf>
    <xf numFmtId="0" fontId="1" fillId="0" borderId="5" xfId="0" applyFont="1" applyBorder="1" applyAlignment="1">
      <alignment horizontal="right"/>
    </xf>
    <xf numFmtId="0" fontId="1" fillId="0" borderId="23" xfId="0" applyFont="1" applyBorder="1" applyAlignment="1">
      <alignment horizontal="right"/>
    </xf>
    <xf numFmtId="0" fontId="1" fillId="0" borderId="6" xfId="0" applyFont="1" applyBorder="1" applyAlignment="1">
      <alignment horizontal="right"/>
    </xf>
    <xf numFmtId="0" fontId="2" fillId="5" borderId="0" xfId="0" applyFont="1" applyFill="1" applyAlignment="1">
      <alignment horizontal="right"/>
    </xf>
    <xf numFmtId="0" fontId="1" fillId="5" borderId="0" xfId="0" applyFont="1" applyFill="1" applyAlignment="1">
      <alignment horizontal="right"/>
    </xf>
    <xf numFmtId="165" fontId="1" fillId="0" borderId="0" xfId="0" applyNumberFormat="1" applyFont="1" applyAlignment="1">
      <alignment horizontal="right"/>
    </xf>
    <xf numFmtId="165" fontId="1" fillId="2" borderId="0" xfId="0" applyNumberFormat="1" applyFont="1" applyFill="1" applyAlignment="1">
      <alignment horizontal="right"/>
    </xf>
    <xf numFmtId="0" fontId="1" fillId="0" borderId="2" xfId="0" applyFont="1" applyBorder="1" applyAlignment="1">
      <alignment horizontal="right"/>
    </xf>
    <xf numFmtId="3" fontId="1" fillId="2" borderId="2" xfId="0" applyNumberFormat="1" applyFont="1" applyFill="1" applyBorder="1" applyAlignment="1">
      <alignment horizontal="right"/>
    </xf>
    <xf numFmtId="165" fontId="1" fillId="0" borderId="21" xfId="0" applyNumberFormat="1" applyFont="1" applyBorder="1" applyAlignment="1">
      <alignment horizontal="right"/>
    </xf>
    <xf numFmtId="0" fontId="1" fillId="19" borderId="0" xfId="0" applyFont="1" applyFill="1" applyAlignment="1">
      <alignment horizontal="right"/>
    </xf>
    <xf numFmtId="165" fontId="1" fillId="11" borderId="0" xfId="0" applyNumberFormat="1" applyFont="1" applyFill="1" applyAlignment="1">
      <alignment horizontal="right"/>
    </xf>
    <xf numFmtId="0" fontId="2" fillId="19" borderId="0" xfId="0" applyFont="1" applyFill="1" applyAlignment="1">
      <alignment horizontal="right"/>
    </xf>
    <xf numFmtId="0" fontId="3" fillId="0" borderId="3" xfId="0" applyFont="1" applyBorder="1" applyAlignment="1">
      <alignment horizontal="right"/>
    </xf>
    <xf numFmtId="0" fontId="3" fillId="0" borderId="22" xfId="0" applyFont="1" applyBorder="1" applyAlignment="1">
      <alignment horizontal="right"/>
    </xf>
    <xf numFmtId="0" fontId="3" fillId="0" borderId="22" xfId="0" applyFont="1" applyBorder="1" applyAlignment="1">
      <alignment horizontal="center"/>
    </xf>
    <xf numFmtId="0" fontId="3" fillId="0" borderId="4" xfId="0" applyFont="1" applyBorder="1" applyAlignment="1">
      <alignment horizontal="right"/>
    </xf>
    <xf numFmtId="0" fontId="3" fillId="0" borderId="5" xfId="0" applyFont="1" applyBorder="1" applyAlignment="1">
      <alignment horizontal="right"/>
    </xf>
    <xf numFmtId="0" fontId="3" fillId="0" borderId="23" xfId="0" applyFont="1" applyBorder="1" applyAlignment="1">
      <alignment horizontal="right"/>
    </xf>
    <xf numFmtId="0" fontId="3" fillId="0" borderId="23" xfId="0" applyFont="1" applyBorder="1" applyAlignment="1">
      <alignment horizontal="center"/>
    </xf>
    <xf numFmtId="0" fontId="3" fillId="0" borderId="6" xfId="0" applyFont="1" applyBorder="1" applyAlignment="1">
      <alignment horizontal="right"/>
    </xf>
    <xf numFmtId="0" fontId="8" fillId="2" borderId="0" xfId="0" applyFont="1" applyFill="1" applyAlignment="1">
      <alignment horizontal="right"/>
    </xf>
    <xf numFmtId="0" fontId="2" fillId="0" borderId="12" xfId="0" applyFont="1" applyBorder="1" applyAlignment="1">
      <alignment horizontal="right"/>
    </xf>
    <xf numFmtId="0" fontId="2" fillId="0" borderId="5" xfId="0" applyFont="1" applyBorder="1" applyAlignment="1">
      <alignment horizontal="right"/>
    </xf>
    <xf numFmtId="0" fontId="3" fillId="0" borderId="0" xfId="0" applyFont="1" applyAlignment="1">
      <alignment horizontal="right"/>
    </xf>
    <xf numFmtId="0" fontId="8" fillId="0" borderId="0" xfId="0" applyFont="1" applyAlignment="1">
      <alignment horizontal="right" wrapText="1"/>
    </xf>
    <xf numFmtId="165" fontId="8" fillId="2" borderId="0" xfId="0" applyNumberFormat="1" applyFont="1" applyFill="1" applyAlignment="1">
      <alignment horizontal="right"/>
    </xf>
    <xf numFmtId="165" fontId="3" fillId="0" borderId="22" xfId="0" applyNumberFormat="1" applyFont="1" applyBorder="1" applyAlignment="1">
      <alignment horizontal="right"/>
    </xf>
    <xf numFmtId="165" fontId="3" fillId="0" borderId="23" xfId="0" applyNumberFormat="1" applyFont="1" applyBorder="1" applyAlignment="1">
      <alignment horizontal="right"/>
    </xf>
    <xf numFmtId="165" fontId="8" fillId="0" borderId="0" xfId="0" applyNumberFormat="1" applyFont="1" applyAlignment="1">
      <alignment horizontal="right"/>
    </xf>
    <xf numFmtId="165" fontId="1" fillId="0" borderId="0" xfId="0" applyNumberFormat="1" applyFont="1" applyAlignment="1">
      <alignment horizontal="center"/>
    </xf>
    <xf numFmtId="0" fontId="3" fillId="0" borderId="12" xfId="0" applyFont="1" applyBorder="1" applyAlignment="1">
      <alignment horizontal="right"/>
    </xf>
    <xf numFmtId="0" fontId="3" fillId="0" borderId="13" xfId="0" applyFont="1" applyBorder="1" applyAlignment="1">
      <alignment horizontal="right"/>
    </xf>
    <xf numFmtId="165" fontId="3" fillId="0" borderId="0" xfId="0" applyNumberFormat="1" applyFont="1" applyAlignment="1">
      <alignment horizontal="center"/>
    </xf>
    <xf numFmtId="1" fontId="1" fillId="0" borderId="21" xfId="0" applyNumberFormat="1" applyFont="1" applyBorder="1" applyAlignment="1">
      <alignment horizontal="right"/>
    </xf>
    <xf numFmtId="0" fontId="14" fillId="0" borderId="0" xfId="0" applyFont="1" applyAlignment="1">
      <alignment horizontal="right"/>
    </xf>
    <xf numFmtId="166" fontId="1" fillId="0" borderId="0" xfId="0" applyNumberFormat="1" applyFont="1" applyAlignment="1">
      <alignment horizontal="center"/>
    </xf>
    <xf numFmtId="166" fontId="1" fillId="0" borderId="8" xfId="0" applyNumberFormat="1" applyFont="1" applyBorder="1" applyAlignment="1">
      <alignment horizontal="center"/>
    </xf>
    <xf numFmtId="165" fontId="1" fillId="0" borderId="2" xfId="0" applyNumberFormat="1" applyFont="1" applyBorder="1" applyAlignment="1">
      <alignment horizontal="right"/>
    </xf>
    <xf numFmtId="0" fontId="29" fillId="2" borderId="0" xfId="0" applyFont="1" applyFill="1"/>
    <xf numFmtId="0" fontId="7" fillId="3" borderId="0" xfId="0" applyFont="1" applyFill="1"/>
    <xf numFmtId="0" fontId="6" fillId="3" borderId="0" xfId="0" applyFont="1" applyFill="1"/>
    <xf numFmtId="0" fontId="7" fillId="4" borderId="0" xfId="0" applyFont="1" applyFill="1"/>
    <xf numFmtId="0" fontId="6" fillId="4" borderId="0" xfId="0" applyFont="1" applyFill="1"/>
    <xf numFmtId="0" fontId="7" fillId="2" borderId="0" xfId="0" applyFont="1" applyFill="1"/>
    <xf numFmtId="0" fontId="7" fillId="0" borderId="1" xfId="0" applyFont="1" applyBorder="1" applyAlignment="1">
      <alignment horizontal="center"/>
    </xf>
    <xf numFmtId="3" fontId="6" fillId="0" borderId="0" xfId="0" applyNumberFormat="1" applyFont="1" applyAlignment="1">
      <alignment horizontal="center"/>
    </xf>
    <xf numFmtId="3" fontId="6" fillId="0" borderId="0" xfId="0" applyNumberFormat="1" applyFont="1"/>
    <xf numFmtId="14" fontId="1" fillId="2" borderId="0" xfId="0" applyNumberFormat="1" applyFont="1" applyFill="1"/>
    <xf numFmtId="14" fontId="2" fillId="2" borderId="0" xfId="0" applyNumberFormat="1" applyFont="1" applyFill="1"/>
    <xf numFmtId="14" fontId="1" fillId="0" borderId="22" xfId="0" applyNumberFormat="1" applyFont="1" applyBorder="1"/>
    <xf numFmtId="37" fontId="6" fillId="0" borderId="0" xfId="0" applyNumberFormat="1" applyFont="1"/>
    <xf numFmtId="37" fontId="1" fillId="0" borderId="8" xfId="0" applyNumberFormat="1" applyFont="1" applyBorder="1"/>
    <xf numFmtId="37" fontId="24" fillId="0" borderId="0" xfId="0" applyNumberFormat="1" applyFont="1" applyAlignment="1">
      <alignment readingOrder="1"/>
    </xf>
    <xf numFmtId="37" fontId="6" fillId="0" borderId="0" xfId="0" applyNumberFormat="1" applyFont="1" applyAlignment="1">
      <alignment horizontal="right"/>
    </xf>
    <xf numFmtId="37" fontId="6" fillId="0" borderId="0" xfId="0" applyNumberFormat="1" applyFont="1" applyAlignment="1">
      <alignment horizontal="center"/>
    </xf>
    <xf numFmtId="37" fontId="6" fillId="2" borderId="8" xfId="0" applyNumberFormat="1" applyFont="1" applyFill="1" applyBorder="1"/>
    <xf numFmtId="0" fontId="6" fillId="2" borderId="8" xfId="0" applyFont="1" applyFill="1" applyBorder="1" applyAlignment="1">
      <alignment horizontal="center"/>
    </xf>
    <xf numFmtId="0" fontId="6" fillId="0" borderId="0" xfId="0" applyFont="1" applyAlignment="1">
      <alignment horizontal="right"/>
    </xf>
    <xf numFmtId="3" fontId="6" fillId="0" borderId="0" xfId="0" applyNumberFormat="1" applyFont="1" applyAlignment="1">
      <alignment horizontal="left"/>
    </xf>
    <xf numFmtId="37" fontId="6" fillId="0" borderId="8" xfId="0" applyNumberFormat="1" applyFont="1" applyBorder="1"/>
    <xf numFmtId="0" fontId="6" fillId="0" borderId="12" xfId="0" applyFont="1" applyBorder="1"/>
    <xf numFmtId="37" fontId="6" fillId="0" borderId="13" xfId="0" applyNumberFormat="1" applyFont="1" applyBorder="1"/>
    <xf numFmtId="0" fontId="6" fillId="0" borderId="13" xfId="0" applyFont="1" applyBorder="1"/>
    <xf numFmtId="0" fontId="6" fillId="0" borderId="5" xfId="0" applyFont="1" applyBorder="1"/>
    <xf numFmtId="0" fontId="6" fillId="0" borderId="23" xfId="0" applyFont="1" applyBorder="1"/>
    <xf numFmtId="37" fontId="7" fillId="0" borderId="6" xfId="0" applyNumberFormat="1" applyFont="1" applyBorder="1"/>
    <xf numFmtId="3" fontId="6" fillId="0" borderId="13" xfId="0" applyNumberFormat="1" applyFont="1" applyBorder="1"/>
    <xf numFmtId="3" fontId="7" fillId="0" borderId="6" xfId="0" applyNumberFormat="1" applyFont="1" applyBorder="1"/>
    <xf numFmtId="37" fontId="7" fillId="0" borderId="0" xfId="0" applyNumberFormat="1" applyFont="1"/>
    <xf numFmtId="0" fontId="6" fillId="0" borderId="6" xfId="0" applyFont="1" applyBorder="1"/>
    <xf numFmtId="0" fontId="7" fillId="0" borderId="3" xfId="0" applyFont="1" applyBorder="1"/>
    <xf numFmtId="37" fontId="3" fillId="0" borderId="0" xfId="0" applyNumberFormat="1" applyFont="1"/>
    <xf numFmtId="0" fontId="32" fillId="0" borderId="0" xfId="0" applyFont="1"/>
    <xf numFmtId="0" fontId="31" fillId="0" borderId="0" xfId="0" applyFont="1"/>
    <xf numFmtId="0" fontId="6" fillId="2" borderId="0" xfId="0" applyFont="1" applyFill="1" applyAlignment="1">
      <alignment wrapText="1"/>
    </xf>
    <xf numFmtId="14" fontId="1" fillId="0" borderId="23" xfId="0" applyNumberFormat="1" applyFont="1" applyBorder="1"/>
    <xf numFmtId="0" fontId="21" fillId="5" borderId="0" xfId="0" applyFont="1" applyFill="1"/>
    <xf numFmtId="0" fontId="6" fillId="3" borderId="8" xfId="0" applyFont="1" applyFill="1" applyBorder="1"/>
    <xf numFmtId="0" fontId="6" fillId="2" borderId="8" xfId="0" applyFont="1" applyFill="1" applyBorder="1"/>
    <xf numFmtId="0" fontId="11" fillId="9" borderId="0" xfId="1" applyFill="1"/>
    <xf numFmtId="0" fontId="7" fillId="3" borderId="21" xfId="0" applyFont="1" applyFill="1" applyBorder="1"/>
    <xf numFmtId="0" fontId="2" fillId="0" borderId="19" xfId="0" applyFont="1" applyBorder="1"/>
    <xf numFmtId="0" fontId="7" fillId="2" borderId="21" xfId="0" applyFont="1" applyFill="1" applyBorder="1" applyAlignment="1">
      <alignment wrapText="1"/>
    </xf>
    <xf numFmtId="0" fontId="7" fillId="9" borderId="20" xfId="0" applyFont="1" applyFill="1" applyBorder="1"/>
    <xf numFmtId="0" fontId="7" fillId="2" borderId="1" xfId="0" applyFont="1" applyFill="1" applyBorder="1"/>
    <xf numFmtId="0" fontId="6" fillId="20" borderId="1" xfId="0" applyFont="1" applyFill="1" applyBorder="1"/>
    <xf numFmtId="0" fontId="6" fillId="20" borderId="0" xfId="0" applyFont="1" applyFill="1"/>
    <xf numFmtId="0" fontId="7" fillId="0" borderId="21" xfId="0" applyFont="1" applyBorder="1" applyAlignment="1">
      <alignment wrapText="1"/>
    </xf>
    <xf numFmtId="0" fontId="7" fillId="0" borderId="21" xfId="0" applyFont="1" applyBorder="1"/>
    <xf numFmtId="14" fontId="1" fillId="0" borderId="21" xfId="0" applyNumberFormat="1" applyFont="1" applyBorder="1"/>
    <xf numFmtId="0" fontId="33" fillId="2" borderId="0" xfId="0" applyFont="1" applyFill="1"/>
    <xf numFmtId="0" fontId="9" fillId="3" borderId="0" xfId="0" applyFont="1" applyFill="1"/>
    <xf numFmtId="0" fontId="33" fillId="0" borderId="0" xfId="0" applyFont="1"/>
    <xf numFmtId="0" fontId="33" fillId="9" borderId="0" xfId="0" applyFont="1" applyFill="1"/>
    <xf numFmtId="0" fontId="33" fillId="2" borderId="1" xfId="0" applyFont="1" applyFill="1" applyBorder="1"/>
    <xf numFmtId="0" fontId="9" fillId="3" borderId="1" xfId="0" applyFont="1" applyFill="1" applyBorder="1"/>
    <xf numFmtId="0" fontId="33" fillId="0" borderId="1" xfId="0" applyFont="1" applyBorder="1"/>
    <xf numFmtId="0" fontId="33" fillId="9" borderId="1" xfId="0" applyFont="1" applyFill="1" applyBorder="1"/>
    <xf numFmtId="0" fontId="33" fillId="2" borderId="0" xfId="0" applyFont="1" applyFill="1" applyAlignment="1">
      <alignment wrapText="1"/>
    </xf>
    <xf numFmtId="0" fontId="33" fillId="3" borderId="0" xfId="0" applyFont="1" applyFill="1"/>
    <xf numFmtId="3" fontId="1" fillId="2" borderId="0" xfId="0" applyNumberFormat="1" applyFont="1" applyFill="1"/>
    <xf numFmtId="3" fontId="1" fillId="13" borderId="3" xfId="0" applyNumberFormat="1" applyFont="1" applyFill="1" applyBorder="1" applyAlignment="1">
      <alignment horizontal="center"/>
    </xf>
    <xf numFmtId="3" fontId="1" fillId="13" borderId="4" xfId="0" applyNumberFormat="1" applyFont="1" applyFill="1" applyBorder="1" applyAlignment="1">
      <alignment horizontal="center"/>
    </xf>
    <xf numFmtId="0" fontId="2" fillId="0" borderId="21" xfId="0" applyFont="1" applyBorder="1" applyAlignment="1">
      <alignment horizontal="center"/>
    </xf>
    <xf numFmtId="0" fontId="2" fillId="0" borderId="20" xfId="0" applyFont="1" applyBorder="1" applyAlignment="1">
      <alignment horizontal="center"/>
    </xf>
    <xf numFmtId="9" fontId="1" fillId="0" borderId="21" xfId="0" applyNumberFormat="1" applyFont="1" applyBorder="1" applyAlignment="1">
      <alignment horizontal="center"/>
    </xf>
    <xf numFmtId="9" fontId="1" fillId="0" borderId="12" xfId="0" applyNumberFormat="1" applyFont="1" applyBorder="1" applyAlignment="1">
      <alignment horizontal="center"/>
    </xf>
    <xf numFmtId="9" fontId="1" fillId="0" borderId="13" xfId="0" applyNumberFormat="1" applyFont="1" applyBorder="1" applyAlignment="1">
      <alignment horizontal="center"/>
    </xf>
    <xf numFmtId="0" fontId="6" fillId="0" borderId="21" xfId="0" applyFont="1" applyBorder="1"/>
    <xf numFmtId="0" fontId="6" fillId="2" borderId="23" xfId="0" applyFont="1" applyFill="1" applyBorder="1"/>
    <xf numFmtId="3" fontId="4" fillId="0" borderId="0" xfId="0" applyNumberFormat="1" applyFont="1"/>
    <xf numFmtId="14" fontId="1" fillId="0" borderId="0" xfId="0" applyNumberFormat="1" applyFont="1" applyAlignment="1">
      <alignment horizontal="right"/>
    </xf>
    <xf numFmtId="3" fontId="1" fillId="10" borderId="2" xfId="0" applyNumberFormat="1" applyFont="1" applyFill="1" applyBorder="1" applyAlignment="1">
      <alignment horizontal="center"/>
    </xf>
    <xf numFmtId="3" fontId="1" fillId="7" borderId="0" xfId="0" applyNumberFormat="1" applyFont="1" applyFill="1" applyAlignment="1">
      <alignment horizontal="center"/>
    </xf>
    <xf numFmtId="3" fontId="1" fillId="7" borderId="8" xfId="0" applyNumberFormat="1" applyFont="1" applyFill="1" applyBorder="1"/>
    <xf numFmtId="0" fontId="4" fillId="0" borderId="0" xfId="0" applyFont="1" applyAlignment="1">
      <alignment horizontal="center"/>
    </xf>
    <xf numFmtId="0" fontId="6" fillId="0" borderId="0" xfId="0" applyFont="1" applyAlignment="1">
      <alignment horizontal="center" wrapText="1"/>
    </xf>
    <xf numFmtId="0" fontId="24" fillId="0" borderId="23" xfId="0" applyFont="1" applyBorder="1" applyAlignment="1">
      <alignment horizontal="right" vertical="center" readingOrder="2"/>
    </xf>
    <xf numFmtId="0" fontId="24" fillId="0" borderId="0" xfId="0" applyFont="1" applyAlignment="1">
      <alignment horizontal="right" vertical="center" readingOrder="2"/>
    </xf>
    <xf numFmtId="0" fontId="24" fillId="0" borderId="0" xfId="0" applyFont="1" applyAlignment="1">
      <alignment horizontal="right" vertical="center"/>
    </xf>
    <xf numFmtId="0" fontId="24" fillId="0" borderId="0" xfId="0" applyFont="1" applyAlignment="1">
      <alignment horizontal="right" vertical="center" wrapText="1" readingOrder="2"/>
    </xf>
    <xf numFmtId="0" fontId="24" fillId="0" borderId="25" xfId="0" applyFont="1" applyBorder="1" applyAlignment="1">
      <alignment horizontal="right" vertical="center" readingOrder="2"/>
    </xf>
    <xf numFmtId="0" fontId="1" fillId="0" borderId="25" xfId="0" applyFont="1" applyBorder="1"/>
    <xf numFmtId="0" fontId="24" fillId="0" borderId="25" xfId="0" applyFont="1" applyBorder="1" applyAlignment="1">
      <alignment horizontal="right" vertical="center"/>
    </xf>
    <xf numFmtId="0" fontId="24" fillId="0" borderId="25" xfId="0" applyFont="1" applyBorder="1" applyAlignment="1">
      <alignment horizontal="right" vertical="center" wrapText="1" readingOrder="2"/>
    </xf>
    <xf numFmtId="0" fontId="34" fillId="0" borderId="25" xfId="0" applyFont="1" applyBorder="1" applyAlignment="1">
      <alignment horizontal="right" vertical="center" readingOrder="2"/>
    </xf>
    <xf numFmtId="0" fontId="2" fillId="0" borderId="25" xfId="0" applyFont="1" applyBorder="1"/>
    <xf numFmtId="0" fontId="1" fillId="0" borderId="8" xfId="0" applyFont="1" applyBorder="1" applyAlignment="1">
      <alignment horizontal="center"/>
    </xf>
    <xf numFmtId="0" fontId="1" fillId="7" borderId="23" xfId="0" applyFont="1" applyFill="1" applyBorder="1"/>
    <xf numFmtId="0" fontId="1" fillId="5" borderId="23" xfId="0" applyFont="1" applyFill="1" applyBorder="1"/>
    <xf numFmtId="0" fontId="1" fillId="7" borderId="23" xfId="0" applyFont="1" applyFill="1" applyBorder="1" applyAlignment="1">
      <alignment horizontal="center"/>
    </xf>
    <xf numFmtId="0" fontId="1" fillId="5" borderId="23" xfId="0" applyFont="1" applyFill="1" applyBorder="1" applyAlignment="1">
      <alignment horizontal="center"/>
    </xf>
    <xf numFmtId="0" fontId="1" fillId="11" borderId="19" xfId="0" applyFont="1" applyFill="1" applyBorder="1" applyAlignment="1">
      <alignment horizontal="center"/>
    </xf>
    <xf numFmtId="0" fontId="1" fillId="11" borderId="20" xfId="0" applyFont="1" applyFill="1" applyBorder="1" applyAlignment="1">
      <alignment horizontal="center"/>
    </xf>
    <xf numFmtId="0" fontId="1" fillId="2" borderId="23" xfId="0" applyFont="1" applyFill="1" applyBorder="1"/>
    <xf numFmtId="0" fontId="3" fillId="2" borderId="25" xfId="0" applyFont="1" applyFill="1" applyBorder="1"/>
    <xf numFmtId="0" fontId="8" fillId="0" borderId="25" xfId="0" applyFont="1" applyBorder="1" applyAlignment="1">
      <alignment horizontal="right" vertical="center" wrapText="1" readingOrder="2"/>
    </xf>
    <xf numFmtId="0" fontId="8" fillId="0" borderId="25" xfId="0" applyFont="1" applyBorder="1" applyAlignment="1">
      <alignment horizontal="right" vertical="center"/>
    </xf>
    <xf numFmtId="0" fontId="8" fillId="0" borderId="25" xfId="0" applyFont="1" applyBorder="1"/>
    <xf numFmtId="0" fontId="34" fillId="0" borderId="25" xfId="0" applyFont="1" applyBorder="1" applyAlignment="1">
      <alignment horizontal="right" vertical="center"/>
    </xf>
    <xf numFmtId="0" fontId="8" fillId="2" borderId="25" xfId="0" applyFont="1" applyFill="1" applyBorder="1"/>
    <xf numFmtId="0" fontId="1" fillId="0" borderId="26" xfId="0" applyFont="1" applyBorder="1"/>
    <xf numFmtId="0" fontId="1" fillId="0" borderId="26" xfId="0" applyFont="1" applyBorder="1" applyAlignment="1">
      <alignment horizontal="center"/>
    </xf>
    <xf numFmtId="0" fontId="1" fillId="19" borderId="0" xfId="0" applyFont="1" applyFill="1"/>
    <xf numFmtId="0" fontId="24" fillId="0" borderId="1" xfId="0" applyFont="1" applyBorder="1" applyAlignment="1">
      <alignment horizontal="right" vertical="center" readingOrder="2"/>
    </xf>
    <xf numFmtId="0" fontId="24" fillId="0" borderId="1" xfId="0" applyFont="1" applyBorder="1" applyAlignment="1">
      <alignment horizontal="center" vertical="center" readingOrder="2"/>
    </xf>
    <xf numFmtId="0" fontId="24" fillId="0" borderId="0" xfId="0" applyFont="1" applyAlignment="1">
      <alignment horizontal="center" vertical="center"/>
    </xf>
    <xf numFmtId="0" fontId="2" fillId="5" borderId="3" xfId="0" applyFont="1" applyFill="1" applyBorder="1"/>
    <xf numFmtId="0" fontId="2" fillId="5" borderId="22" xfId="0" applyFont="1" applyFill="1" applyBorder="1"/>
    <xf numFmtId="0" fontId="2" fillId="5" borderId="4" xfId="0" applyFont="1" applyFill="1" applyBorder="1"/>
    <xf numFmtId="0" fontId="2" fillId="5" borderId="12" xfId="0" applyFont="1" applyFill="1" applyBorder="1"/>
    <xf numFmtId="0" fontId="2" fillId="5" borderId="13" xfId="0" applyFont="1" applyFill="1" applyBorder="1"/>
    <xf numFmtId="0" fontId="2" fillId="5" borderId="5" xfId="0" applyFont="1" applyFill="1" applyBorder="1"/>
    <xf numFmtId="0" fontId="2" fillId="5" borderId="23" xfId="0" applyFont="1" applyFill="1" applyBorder="1"/>
    <xf numFmtId="0" fontId="2" fillId="5" borderId="6" xfId="0" applyFont="1" applyFill="1" applyBorder="1"/>
    <xf numFmtId="0" fontId="2" fillId="8" borderId="3" xfId="0" applyFont="1" applyFill="1" applyBorder="1"/>
    <xf numFmtId="0" fontId="2" fillId="8" borderId="4" xfId="0" applyFont="1" applyFill="1" applyBorder="1"/>
    <xf numFmtId="0" fontId="2" fillId="8" borderId="5" xfId="0" applyFont="1" applyFill="1" applyBorder="1"/>
    <xf numFmtId="0" fontId="2" fillId="8" borderId="6" xfId="0" applyFont="1" applyFill="1" applyBorder="1"/>
    <xf numFmtId="0" fontId="8" fillId="0" borderId="2" xfId="0" applyFont="1" applyBorder="1"/>
    <xf numFmtId="0" fontId="1" fillId="8" borderId="3" xfId="0" applyFont="1" applyFill="1" applyBorder="1"/>
    <xf numFmtId="0" fontId="1" fillId="8" borderId="4" xfId="0" applyFont="1" applyFill="1" applyBorder="1"/>
    <xf numFmtId="0" fontId="1" fillId="8" borderId="5" xfId="0" applyFont="1" applyFill="1" applyBorder="1"/>
    <xf numFmtId="0" fontId="1" fillId="8" borderId="6" xfId="0" applyFont="1" applyFill="1" applyBorder="1"/>
    <xf numFmtId="0" fontId="2" fillId="20" borderId="0" xfId="0" applyFont="1" applyFill="1" applyAlignment="1">
      <alignment horizontal="center"/>
    </xf>
    <xf numFmtId="0" fontId="1" fillId="20" borderId="0" xfId="0" applyFont="1" applyFill="1"/>
    <xf numFmtId="0" fontId="1" fillId="6" borderId="0" xfId="0" applyFont="1" applyFill="1" applyAlignment="1">
      <alignment horizontal="center"/>
    </xf>
    <xf numFmtId="0" fontId="2" fillId="15" borderId="0" xfId="0" applyFont="1" applyFill="1" applyAlignment="1">
      <alignment horizontal="center"/>
    </xf>
    <xf numFmtId="0" fontId="1" fillId="15" borderId="0" xfId="0" applyFont="1" applyFill="1"/>
    <xf numFmtId="0" fontId="8" fillId="0" borderId="0" xfId="0" applyFont="1" applyAlignment="1">
      <alignment horizontal="right" vertical="center" wrapText="1" readingOrder="2"/>
    </xf>
    <xf numFmtId="0" fontId="3" fillId="0" borderId="0" xfId="0" applyFont="1" applyAlignment="1">
      <alignment horizontal="center" vertical="center"/>
    </xf>
    <xf numFmtId="165" fontId="1" fillId="0" borderId="0" xfId="0" applyNumberFormat="1" applyFont="1"/>
    <xf numFmtId="165" fontId="1" fillId="2" borderId="0" xfId="0" applyNumberFormat="1" applyFont="1" applyFill="1"/>
    <xf numFmtId="165" fontId="8" fillId="0" borderId="0" xfId="0" applyNumberFormat="1" applyFont="1"/>
    <xf numFmtId="0" fontId="1" fillId="12" borderId="3" xfId="0" applyFont="1" applyFill="1" applyBorder="1"/>
    <xf numFmtId="165" fontId="1" fillId="12" borderId="4" xfId="0" applyNumberFormat="1" applyFont="1" applyFill="1" applyBorder="1"/>
    <xf numFmtId="0" fontId="1" fillId="12" borderId="5" xfId="0" applyFont="1" applyFill="1" applyBorder="1"/>
    <xf numFmtId="165" fontId="1" fillId="12" borderId="6" xfId="0" applyNumberFormat="1" applyFont="1" applyFill="1" applyBorder="1"/>
    <xf numFmtId="165" fontId="8" fillId="0" borderId="0" xfId="0" applyNumberFormat="1" applyFont="1" applyAlignment="1">
      <alignment horizontal="center"/>
    </xf>
    <xf numFmtId="0" fontId="8" fillId="0" borderId="0" xfId="0" applyFont="1" applyAlignment="1">
      <alignment horizontal="center" vertical="center"/>
    </xf>
    <xf numFmtId="165" fontId="1" fillId="0" borderId="8" xfId="0" applyNumberFormat="1" applyFont="1" applyBorder="1" applyAlignment="1">
      <alignment horizontal="center"/>
    </xf>
    <xf numFmtId="165" fontId="1" fillId="0" borderId="2" xfId="0" applyNumberFormat="1" applyFont="1" applyBorder="1"/>
    <xf numFmtId="14" fontId="1" fillId="0" borderId="21" xfId="0" applyNumberFormat="1" applyFont="1" applyBorder="1" applyAlignment="1">
      <alignment horizontal="center"/>
    </xf>
    <xf numFmtId="0" fontId="6" fillId="0" borderId="3" xfId="0" applyFont="1" applyBorder="1"/>
    <xf numFmtId="0" fontId="6" fillId="2" borderId="12" xfId="0" applyFont="1" applyFill="1" applyBorder="1"/>
    <xf numFmtId="0" fontId="6" fillId="2" borderId="5" xfId="0" applyFont="1" applyFill="1" applyBorder="1"/>
    <xf numFmtId="0" fontId="6" fillId="0" borderId="19" xfId="0" applyFont="1" applyBorder="1"/>
    <xf numFmtId="0" fontId="4" fillId="0" borderId="13" xfId="0" applyFont="1" applyBorder="1"/>
    <xf numFmtId="0" fontId="12" fillId="0" borderId="23" xfId="1" applyFont="1" applyBorder="1"/>
    <xf numFmtId="0" fontId="2" fillId="21" borderId="0" xfId="0" applyFont="1" applyFill="1"/>
    <xf numFmtId="0" fontId="2" fillId="22" borderId="0" xfId="0" applyFont="1" applyFill="1"/>
    <xf numFmtId="0" fontId="2" fillId="21" borderId="19" xfId="0" applyFont="1" applyFill="1" applyBorder="1"/>
    <xf numFmtId="0" fontId="1" fillId="22" borderId="0" xfId="0" applyFont="1" applyFill="1"/>
    <xf numFmtId="0" fontId="7" fillId="0" borderId="0" xfId="0" applyFont="1" applyAlignment="1">
      <alignment horizontal="center"/>
    </xf>
    <xf numFmtId="3" fontId="7" fillId="2" borderId="0" xfId="0" applyNumberFormat="1" applyFont="1" applyFill="1" applyAlignment="1">
      <alignment horizontal="center"/>
    </xf>
    <xf numFmtId="0" fontId="7" fillId="0" borderId="0" xfId="0" applyFont="1" applyAlignment="1">
      <alignment horizontal="right"/>
    </xf>
    <xf numFmtId="0" fontId="7" fillId="0" borderId="19" xfId="0" applyFont="1" applyBorder="1"/>
    <xf numFmtId="0" fontId="7" fillId="0" borderId="20" xfId="0" applyFont="1" applyBorder="1"/>
    <xf numFmtId="0" fontId="1" fillId="23" borderId="0" xfId="0" applyFont="1" applyFill="1"/>
    <xf numFmtId="0" fontId="1" fillId="23" borderId="4" xfId="0" applyFont="1" applyFill="1" applyBorder="1" applyAlignment="1">
      <alignment horizontal="center"/>
    </xf>
    <xf numFmtId="0" fontId="1" fillId="23" borderId="13" xfId="0" applyFont="1" applyFill="1" applyBorder="1" applyAlignment="1">
      <alignment horizontal="center"/>
    </xf>
    <xf numFmtId="0" fontId="1" fillId="23" borderId="6" xfId="0" applyFont="1" applyFill="1" applyBorder="1" applyAlignment="1">
      <alignment horizontal="center"/>
    </xf>
    <xf numFmtId="0" fontId="1" fillId="23" borderId="24" xfId="0" applyFont="1" applyFill="1" applyBorder="1" applyAlignment="1">
      <alignment horizontal="center"/>
    </xf>
    <xf numFmtId="0" fontId="1" fillId="23" borderId="17" xfId="0" applyFont="1" applyFill="1" applyBorder="1" applyAlignment="1">
      <alignment horizontal="center"/>
    </xf>
    <xf numFmtId="0" fontId="1" fillId="23" borderId="18" xfId="0" applyFont="1" applyFill="1" applyBorder="1" applyAlignment="1">
      <alignment horizontal="center"/>
    </xf>
    <xf numFmtId="0" fontId="35" fillId="23" borderId="18" xfId="0" applyFont="1" applyFill="1" applyBorder="1" applyAlignment="1">
      <alignment horizontal="center"/>
    </xf>
    <xf numFmtId="0" fontId="20" fillId="23" borderId="18" xfId="0" applyFont="1" applyFill="1" applyBorder="1" applyAlignment="1">
      <alignment horizontal="center"/>
    </xf>
    <xf numFmtId="37" fontId="1" fillId="0" borderId="23" xfId="0" applyNumberFormat="1" applyFont="1" applyBorder="1" applyAlignment="1">
      <alignment horizontal="center"/>
    </xf>
    <xf numFmtId="37" fontId="1" fillId="2" borderId="0" xfId="0" applyNumberFormat="1" applyFont="1" applyFill="1" applyAlignment="1">
      <alignment horizontal="center"/>
    </xf>
    <xf numFmtId="0" fontId="6" fillId="0" borderId="4" xfId="0" applyFont="1" applyBorder="1"/>
    <xf numFmtId="0" fontId="2" fillId="0" borderId="8" xfId="0" applyFont="1" applyBorder="1" applyAlignment="1">
      <alignment horizontal="center"/>
    </xf>
    <xf numFmtId="0" fontId="2" fillId="0" borderId="22" xfId="0" applyFont="1" applyBorder="1"/>
    <xf numFmtId="0" fontId="2" fillId="0" borderId="4" xfId="0" applyFont="1" applyBorder="1"/>
    <xf numFmtId="0" fontId="1" fillId="0" borderId="6" xfId="0" applyFont="1" applyBorder="1" applyAlignment="1">
      <alignment horizontal="center"/>
    </xf>
    <xf numFmtId="0" fontId="1" fillId="2" borderId="12" xfId="0" applyFont="1" applyFill="1" applyBorder="1"/>
    <xf numFmtId="0" fontId="1" fillId="2" borderId="3" xfId="0" applyFont="1" applyFill="1" applyBorder="1"/>
    <xf numFmtId="37" fontId="4" fillId="0" borderId="0" xfId="0" applyNumberFormat="1" applyFont="1"/>
    <xf numFmtId="3" fontId="6" fillId="0" borderId="2" xfId="0" applyNumberFormat="1" applyFont="1" applyBorder="1"/>
    <xf numFmtId="3" fontId="1" fillId="0" borderId="4" xfId="0" applyNumberFormat="1" applyFont="1" applyBorder="1"/>
    <xf numFmtId="37" fontId="1" fillId="0" borderId="13" xfId="0" applyNumberFormat="1" applyFont="1" applyBorder="1"/>
    <xf numFmtId="37" fontId="7" fillId="8" borderId="6" xfId="0" applyNumberFormat="1" applyFont="1" applyFill="1" applyBorder="1"/>
    <xf numFmtId="3" fontId="6" fillId="4" borderId="13" xfId="0" applyNumberFormat="1" applyFont="1" applyFill="1" applyBorder="1"/>
    <xf numFmtId="0" fontId="1" fillId="0" borderId="27" xfId="0" applyFont="1" applyBorder="1"/>
    <xf numFmtId="0" fontId="1" fillId="0" borderId="28" xfId="0" applyFont="1" applyBorder="1"/>
    <xf numFmtId="0" fontId="2" fillId="9" borderId="0" xfId="0" applyFont="1" applyFill="1"/>
    <xf numFmtId="0" fontId="21" fillId="9" borderId="0" xfId="0" applyFont="1" applyFill="1"/>
    <xf numFmtId="0" fontId="1" fillId="0" borderId="24" xfId="0" applyFont="1" applyBorder="1"/>
    <xf numFmtId="0" fontId="6" fillId="9" borderId="0" xfId="0" applyFont="1" applyFill="1" applyAlignment="1">
      <alignment wrapText="1"/>
    </xf>
    <xf numFmtId="0" fontId="8" fillId="6" borderId="0" xfId="0" applyFont="1" applyFill="1"/>
    <xf numFmtId="0" fontId="7" fillId="2" borderId="21" xfId="0" applyFont="1" applyFill="1" applyBorder="1"/>
    <xf numFmtId="0" fontId="7" fillId="3" borderId="20" xfId="0" applyFont="1" applyFill="1" applyBorder="1"/>
    <xf numFmtId="0" fontId="7" fillId="9" borderId="21" xfId="0" applyFont="1" applyFill="1" applyBorder="1" applyAlignment="1">
      <alignment wrapText="1"/>
    </xf>
    <xf numFmtId="0" fontId="2" fillId="2" borderId="0" xfId="0" applyFont="1" applyFill="1" applyAlignment="1">
      <alignment wrapText="1"/>
    </xf>
    <xf numFmtId="0" fontId="1" fillId="0" borderId="17" xfId="0" applyFont="1" applyBorder="1" applyAlignment="1">
      <alignment wrapText="1"/>
    </xf>
    <xf numFmtId="0" fontId="1" fillId="0" borderId="18" xfId="0" applyFont="1" applyBorder="1" applyAlignment="1">
      <alignment wrapText="1"/>
    </xf>
    <xf numFmtId="0" fontId="1" fillId="0" borderId="16" xfId="0" applyFont="1" applyBorder="1" applyAlignment="1">
      <alignment wrapText="1"/>
    </xf>
    <xf numFmtId="0" fontId="1" fillId="0" borderId="29" xfId="0" applyFont="1" applyBorder="1"/>
    <xf numFmtId="0" fontId="40" fillId="0" borderId="0" xfId="0" applyFont="1"/>
    <xf numFmtId="3" fontId="6" fillId="10" borderId="18" xfId="0" applyNumberFormat="1" applyFont="1" applyFill="1" applyBorder="1" applyAlignment="1">
      <alignment horizontal="center"/>
    </xf>
    <xf numFmtId="3" fontId="6" fillId="11" borderId="19" xfId="0" applyNumberFormat="1" applyFont="1" applyFill="1" applyBorder="1" applyAlignment="1">
      <alignment horizontal="center"/>
    </xf>
    <xf numFmtId="14" fontId="6" fillId="0" borderId="1" xfId="0" applyNumberFormat="1" applyFont="1" applyBorder="1" applyAlignment="1">
      <alignment horizontal="center"/>
    </xf>
    <xf numFmtId="37" fontId="6" fillId="2" borderId="8" xfId="0" applyNumberFormat="1" applyFont="1" applyFill="1" applyBorder="1" applyAlignment="1">
      <alignment horizontal="center"/>
    </xf>
    <xf numFmtId="3" fontId="1" fillId="0" borderId="30" xfId="0" applyNumberFormat="1" applyFont="1" applyBorder="1"/>
    <xf numFmtId="37" fontId="6" fillId="2" borderId="19" xfId="0" applyNumberFormat="1" applyFont="1" applyFill="1" applyBorder="1" applyAlignment="1">
      <alignment horizontal="center"/>
    </xf>
    <xf numFmtId="37" fontId="6" fillId="2" borderId="21" xfId="0" applyNumberFormat="1" applyFont="1" applyFill="1" applyBorder="1" applyAlignment="1">
      <alignment horizontal="center"/>
    </xf>
    <xf numFmtId="37" fontId="6" fillId="2" borderId="20" xfId="0" applyNumberFormat="1" applyFont="1" applyFill="1" applyBorder="1" applyAlignment="1">
      <alignment horizontal="center"/>
    </xf>
    <xf numFmtId="0" fontId="27" fillId="9" borderId="0" xfId="0" applyFont="1" applyFill="1"/>
    <xf numFmtId="14" fontId="1" fillId="0" borderId="1" xfId="0" applyNumberFormat="1" applyFont="1" applyBorder="1"/>
    <xf numFmtId="0" fontId="1" fillId="17" borderId="0" xfId="0" applyFont="1" applyFill="1"/>
    <xf numFmtId="14" fontId="1" fillId="0" borderId="0" xfId="0" applyNumberFormat="1" applyFont="1" applyAlignment="1">
      <alignment horizontal="center"/>
    </xf>
    <xf numFmtId="0" fontId="41" fillId="0" borderId="0" xfId="0" applyFont="1"/>
    <xf numFmtId="0" fontId="41" fillId="23" borderId="0" xfId="0" applyFont="1" applyFill="1" applyAlignment="1">
      <alignment horizontal="left"/>
    </xf>
    <xf numFmtId="0" fontId="22" fillId="23" borderId="0" xfId="0" applyFont="1" applyFill="1" applyAlignment="1">
      <alignment horizontal="center"/>
    </xf>
    <xf numFmtId="0" fontId="1" fillId="23" borderId="0" xfId="0" applyFont="1" applyFill="1" applyAlignment="1">
      <alignment horizontal="center"/>
    </xf>
    <xf numFmtId="2" fontId="1" fillId="0" borderId="0" xfId="0" applyNumberFormat="1" applyFont="1"/>
    <xf numFmtId="169" fontId="1" fillId="0" borderId="0" xfId="0" applyNumberFormat="1" applyFont="1" applyAlignment="1">
      <alignment horizontal="center"/>
    </xf>
    <xf numFmtId="39" fontId="1" fillId="0" borderId="0" xfId="0" applyNumberFormat="1" applyFont="1" applyAlignment="1">
      <alignment horizontal="center"/>
    </xf>
    <xf numFmtId="39" fontId="1" fillId="0" borderId="8" xfId="0" applyNumberFormat="1" applyFont="1" applyBorder="1" applyAlignment="1">
      <alignment horizontal="center"/>
    </xf>
    <xf numFmtId="14" fontId="3" fillId="0" borderId="0" xfId="0" applyNumberFormat="1" applyFont="1"/>
    <xf numFmtId="14" fontId="12" fillId="0" borderId="0" xfId="1" applyNumberFormat="1" applyFont="1"/>
    <xf numFmtId="3" fontId="1" fillId="9" borderId="0" xfId="0" applyNumberFormat="1" applyFont="1" applyFill="1"/>
    <xf numFmtId="3" fontId="1" fillId="0" borderId="1" xfId="0" applyNumberFormat="1" applyFont="1" applyBorder="1"/>
    <xf numFmtId="14" fontId="14" fillId="0" borderId="0" xfId="0" applyNumberFormat="1" applyFont="1"/>
    <xf numFmtId="0" fontId="2" fillId="0" borderId="22" xfId="0" applyFont="1" applyBorder="1" applyAlignment="1">
      <alignment horizontal="center"/>
    </xf>
    <xf numFmtId="0" fontId="2" fillId="0" borderId="4" xfId="0" applyFont="1" applyBorder="1" applyAlignment="1">
      <alignment horizontal="center"/>
    </xf>
    <xf numFmtId="0" fontId="2" fillId="0" borderId="13" xfId="0" applyFont="1" applyBorder="1" applyAlignment="1">
      <alignment horizontal="center"/>
    </xf>
    <xf numFmtId="0" fontId="2" fillId="0" borderId="6" xfId="0" applyFont="1" applyBorder="1" applyAlignment="1">
      <alignment horizontal="center"/>
    </xf>
    <xf numFmtId="0" fontId="42" fillId="0" borderId="0" xfId="0" applyFont="1"/>
    <xf numFmtId="0" fontId="6" fillId="0" borderId="2" xfId="0" applyFont="1" applyBorder="1" applyAlignment="1">
      <alignment horizontal="center"/>
    </xf>
    <xf numFmtId="3" fontId="6" fillId="0" borderId="2" xfId="0" applyNumberFormat="1" applyFont="1" applyBorder="1" applyAlignment="1">
      <alignment horizontal="center"/>
    </xf>
    <xf numFmtId="3" fontId="6" fillId="5" borderId="2" xfId="0" applyNumberFormat="1" applyFont="1" applyFill="1" applyBorder="1" applyAlignment="1">
      <alignment horizontal="center"/>
    </xf>
    <xf numFmtId="37" fontId="6" fillId="0" borderId="2" xfId="0" applyNumberFormat="1" applyFont="1" applyBorder="1" applyAlignment="1">
      <alignment horizontal="center"/>
    </xf>
    <xf numFmtId="0" fontId="6" fillId="0" borderId="2" xfId="0" applyFont="1" applyBorder="1"/>
    <xf numFmtId="0" fontId="6" fillId="0" borderId="0" xfId="0" applyFont="1" applyAlignment="1">
      <alignment horizontal="right" vertical="center" wrapText="1" readingOrder="2"/>
    </xf>
    <xf numFmtId="0" fontId="6" fillId="0" borderId="0" xfId="0" applyFont="1" applyAlignment="1">
      <alignment horizontal="right" vertical="center"/>
    </xf>
    <xf numFmtId="167" fontId="6" fillId="2" borderId="0" xfId="0" applyNumberFormat="1" applyFont="1" applyFill="1" applyAlignment="1">
      <alignment horizontal="right"/>
    </xf>
    <xf numFmtId="0" fontId="6" fillId="2" borderId="0" xfId="0" applyFont="1" applyFill="1" applyAlignment="1">
      <alignment horizontal="right"/>
    </xf>
    <xf numFmtId="168" fontId="6" fillId="2" borderId="0" xfId="0" applyNumberFormat="1" applyFont="1" applyFill="1" applyAlignment="1">
      <alignment horizontal="right"/>
    </xf>
    <xf numFmtId="0" fontId="6" fillId="2" borderId="0" xfId="0" applyFont="1" applyFill="1" applyAlignment="1">
      <alignment horizontal="center"/>
    </xf>
    <xf numFmtId="0" fontId="8" fillId="5" borderId="0" xfId="0" applyFont="1" applyFill="1"/>
    <xf numFmtId="0" fontId="1" fillId="0" borderId="1" xfId="0" applyFont="1" applyBorder="1" applyAlignment="1">
      <alignment wrapText="1"/>
    </xf>
    <xf numFmtId="3" fontId="2" fillId="0" borderId="0" xfId="0" applyNumberFormat="1" applyFont="1" applyAlignment="1">
      <alignment horizontal="center"/>
    </xf>
    <xf numFmtId="0" fontId="7" fillId="2" borderId="3" xfId="0" applyFont="1" applyFill="1" applyBorder="1"/>
    <xf numFmtId="0" fontId="6" fillId="2" borderId="22" xfId="0" applyFont="1" applyFill="1" applyBorder="1"/>
    <xf numFmtId="0" fontId="1" fillId="2" borderId="22" xfId="0" applyFont="1" applyFill="1" applyBorder="1"/>
    <xf numFmtId="0" fontId="44" fillId="0" borderId="0" xfId="0" applyFont="1"/>
    <xf numFmtId="0" fontId="6" fillId="0" borderId="24" xfId="0" applyFont="1" applyBorder="1" applyAlignment="1">
      <alignment horizontal="center"/>
    </xf>
    <xf numFmtId="0" fontId="6" fillId="0" borderId="18" xfId="0" applyFont="1" applyBorder="1" applyAlignment="1">
      <alignment horizontal="center"/>
    </xf>
    <xf numFmtId="0" fontId="6" fillId="2" borderId="2" xfId="0" applyFont="1" applyFill="1" applyBorder="1" applyAlignment="1">
      <alignment horizontal="center"/>
    </xf>
    <xf numFmtId="0" fontId="6" fillId="21" borderId="20" xfId="0" applyFont="1" applyFill="1" applyBorder="1"/>
    <xf numFmtId="0" fontId="7" fillId="0" borderId="5" xfId="0" applyFont="1" applyBorder="1"/>
    <xf numFmtId="0" fontId="4" fillId="0" borderId="23" xfId="0" applyFont="1" applyBorder="1"/>
    <xf numFmtId="0" fontId="4" fillId="0" borderId="6" xfId="0" applyFont="1" applyBorder="1"/>
    <xf numFmtId="0" fontId="4" fillId="0" borderId="22" xfId="0" applyFont="1" applyBorder="1"/>
    <xf numFmtId="0" fontId="45" fillId="0" borderId="0" xfId="0" applyFont="1" applyAlignment="1">
      <alignment horizontal="center"/>
    </xf>
    <xf numFmtId="37" fontId="6" fillId="2" borderId="4" xfId="0" applyNumberFormat="1" applyFont="1" applyFill="1" applyBorder="1"/>
    <xf numFmtId="0" fontId="18" fillId="0" borderId="0" xfId="0" applyFont="1"/>
    <xf numFmtId="0" fontId="4" fillId="0" borderId="0" xfId="0" applyFont="1" applyAlignment="1">
      <alignment horizontal="right"/>
    </xf>
    <xf numFmtId="0" fontId="47" fillId="19" borderId="19" xfId="0" applyFont="1" applyFill="1" applyBorder="1"/>
    <xf numFmtId="0" fontId="48" fillId="19" borderId="21" xfId="0" applyFont="1" applyFill="1" applyBorder="1"/>
    <xf numFmtId="0" fontId="48" fillId="19" borderId="20" xfId="0" applyFont="1" applyFill="1" applyBorder="1"/>
    <xf numFmtId="0" fontId="1" fillId="19" borderId="2" xfId="0" applyFont="1" applyFill="1" applyBorder="1" applyAlignment="1">
      <alignment horizontal="center"/>
    </xf>
    <xf numFmtId="37" fontId="7" fillId="5" borderId="0" xfId="0" applyNumberFormat="1" applyFont="1" applyFill="1" applyAlignment="1">
      <alignment horizontal="center"/>
    </xf>
    <xf numFmtId="37" fontId="2" fillId="5" borderId="0" xfId="0" applyNumberFormat="1" applyFont="1" applyFill="1" applyAlignment="1">
      <alignment horizontal="center"/>
    </xf>
    <xf numFmtId="0" fontId="11" fillId="0" borderId="23" xfId="1" applyBorder="1"/>
    <xf numFmtId="0" fontId="16" fillId="0" borderId="1" xfId="0" applyFont="1" applyBorder="1"/>
    <xf numFmtId="0" fontId="2" fillId="24" borderId="0" xfId="0" applyFont="1" applyFill="1"/>
    <xf numFmtId="0" fontId="1" fillId="24" borderId="0" xfId="0" applyFont="1" applyFill="1"/>
    <xf numFmtId="0" fontId="6" fillId="16" borderId="0" xfId="0" applyFont="1" applyFill="1"/>
    <xf numFmtId="0" fontId="6" fillId="16" borderId="21" xfId="0" applyFont="1" applyFill="1" applyBorder="1" applyAlignment="1">
      <alignment wrapText="1"/>
    </xf>
    <xf numFmtId="0" fontId="6" fillId="3" borderId="21" xfId="0" applyFont="1" applyFill="1" applyBorder="1"/>
    <xf numFmtId="0" fontId="6" fillId="2" borderId="21" xfId="0" applyFont="1" applyFill="1" applyBorder="1" applyAlignment="1">
      <alignment wrapText="1"/>
    </xf>
    <xf numFmtId="0" fontId="1" fillId="0" borderId="24" xfId="0" applyFont="1" applyBorder="1" applyAlignment="1">
      <alignment wrapText="1"/>
    </xf>
    <xf numFmtId="0" fontId="1" fillId="0" borderId="24" xfId="0" applyFont="1" applyBorder="1" applyAlignment="1">
      <alignment horizontal="center"/>
    </xf>
    <xf numFmtId="0" fontId="1" fillId="0" borderId="17" xfId="0" applyFont="1" applyBorder="1" applyAlignment="1">
      <alignment horizontal="center"/>
    </xf>
    <xf numFmtId="0" fontId="1" fillId="0" borderId="18" xfId="0" applyFont="1" applyBorder="1" applyAlignment="1">
      <alignment horizontal="center"/>
    </xf>
    <xf numFmtId="0" fontId="1" fillId="0" borderId="2" xfId="0" applyFont="1" applyBorder="1" applyAlignment="1">
      <alignment wrapText="1"/>
    </xf>
    <xf numFmtId="0" fontId="7" fillId="21" borderId="0" xfId="0" applyFont="1" applyFill="1"/>
    <xf numFmtId="0" fontId="37" fillId="9" borderId="0" xfId="0" applyFont="1" applyFill="1"/>
    <xf numFmtId="3" fontId="7" fillId="2" borderId="2" xfId="0" applyNumberFormat="1" applyFont="1" applyFill="1" applyBorder="1" applyAlignment="1">
      <alignment horizontal="center"/>
    </xf>
    <xf numFmtId="3" fontId="6" fillId="11" borderId="20" xfId="0" applyNumberFormat="1" applyFont="1" applyFill="1" applyBorder="1" applyAlignment="1">
      <alignment horizontal="center"/>
    </xf>
    <xf numFmtId="0" fontId="1" fillId="12" borderId="12" xfId="0" applyFont="1" applyFill="1" applyBorder="1" applyAlignment="1">
      <alignment horizontal="center" wrapText="1"/>
    </xf>
    <xf numFmtId="0" fontId="1" fillId="12" borderId="13" xfId="0" applyFont="1" applyFill="1" applyBorder="1" applyAlignment="1">
      <alignment horizontal="center" wrapText="1"/>
    </xf>
    <xf numFmtId="0" fontId="1" fillId="4" borderId="13" xfId="0" applyFont="1" applyFill="1" applyBorder="1" applyAlignment="1">
      <alignment horizontal="center"/>
    </xf>
    <xf numFmtId="0" fontId="1" fillId="4" borderId="12" xfId="0" applyFont="1" applyFill="1" applyBorder="1" applyAlignment="1">
      <alignment horizontal="center"/>
    </xf>
    <xf numFmtId="0" fontId="1" fillId="13" borderId="13" xfId="0" applyFont="1" applyFill="1" applyBorder="1" applyAlignment="1">
      <alignment horizontal="center"/>
    </xf>
    <xf numFmtId="0" fontId="1" fillId="13" borderId="12" xfId="0" applyFont="1" applyFill="1" applyBorder="1" applyAlignment="1">
      <alignment horizontal="center"/>
    </xf>
    <xf numFmtId="0" fontId="1" fillId="2" borderId="5" xfId="0" applyFont="1" applyFill="1" applyBorder="1" applyAlignment="1">
      <alignment horizontal="center" wrapText="1"/>
    </xf>
    <xf numFmtId="0" fontId="1" fillId="3" borderId="6" xfId="0" applyFont="1" applyFill="1" applyBorder="1" applyAlignment="1">
      <alignment horizontal="center" wrapText="1"/>
    </xf>
    <xf numFmtId="0" fontId="1" fillId="3" borderId="5" xfId="0" applyFont="1" applyFill="1" applyBorder="1" applyAlignment="1">
      <alignment horizontal="center"/>
    </xf>
    <xf numFmtId="0" fontId="1" fillId="0" borderId="5" xfId="0" applyFont="1" applyBorder="1" applyAlignment="1">
      <alignment horizontal="center"/>
    </xf>
    <xf numFmtId="0" fontId="6" fillId="25" borderId="0" xfId="0" applyFont="1" applyFill="1" applyAlignment="1">
      <alignment horizontal="center"/>
    </xf>
    <xf numFmtId="14" fontId="6" fillId="25" borderId="1" xfId="0" applyNumberFormat="1" applyFont="1" applyFill="1" applyBorder="1" applyAlignment="1">
      <alignment horizontal="center"/>
    </xf>
    <xf numFmtId="37" fontId="6" fillId="25" borderId="0" xfId="0" applyNumberFormat="1" applyFont="1" applyFill="1" applyAlignment="1">
      <alignment horizontal="center"/>
    </xf>
    <xf numFmtId="37" fontId="4" fillId="25" borderId="0" xfId="0" applyNumberFormat="1" applyFont="1" applyFill="1"/>
    <xf numFmtId="0" fontId="1" fillId="25" borderId="0" xfId="0" applyFont="1" applyFill="1" applyAlignment="1">
      <alignment horizontal="center"/>
    </xf>
    <xf numFmtId="14" fontId="1" fillId="25" borderId="1" xfId="0" applyNumberFormat="1" applyFont="1" applyFill="1" applyBorder="1" applyAlignment="1">
      <alignment horizontal="center"/>
    </xf>
    <xf numFmtId="37" fontId="1" fillId="25" borderId="0" xfId="0" applyNumberFormat="1" applyFont="1" applyFill="1" applyAlignment="1">
      <alignment horizontal="center"/>
    </xf>
    <xf numFmtId="37" fontId="1" fillId="25" borderId="0" xfId="0" applyNumberFormat="1" applyFont="1" applyFill="1"/>
    <xf numFmtId="3" fontId="1" fillId="16" borderId="0" xfId="0" applyNumberFormat="1" applyFont="1" applyFill="1" applyAlignment="1">
      <alignment horizontal="center"/>
    </xf>
    <xf numFmtId="3" fontId="1" fillId="0" borderId="24" xfId="0" applyNumberFormat="1" applyFont="1" applyBorder="1" applyAlignment="1">
      <alignment horizontal="center"/>
    </xf>
    <xf numFmtId="0" fontId="30" fillId="0" borderId="0" xfId="0" applyFont="1"/>
    <xf numFmtId="14" fontId="30" fillId="0" borderId="0" xfId="0" applyNumberFormat="1" applyFont="1"/>
    <xf numFmtId="0" fontId="1" fillId="11" borderId="0" xfId="0" applyFont="1" applyFill="1"/>
    <xf numFmtId="0" fontId="2" fillId="11" borderId="0" xfId="0" applyFont="1" applyFill="1"/>
    <xf numFmtId="0" fontId="1" fillId="6" borderId="0" xfId="0" applyFont="1" applyFill="1" applyAlignment="1">
      <alignment horizontal="center" wrapText="1"/>
    </xf>
    <xf numFmtId="0" fontId="6" fillId="0" borderId="1" xfId="0" applyFont="1" applyBorder="1" applyAlignment="1">
      <alignment horizontal="right" vertical="center" readingOrder="2"/>
    </xf>
    <xf numFmtId="0" fontId="6" fillId="0" borderId="1" xfId="0" applyFont="1" applyBorder="1" applyAlignment="1">
      <alignment horizontal="center"/>
    </xf>
    <xf numFmtId="0" fontId="6" fillId="0" borderId="0" xfId="0" applyFont="1" applyAlignment="1">
      <alignment horizontal="right" vertical="center" readingOrder="2"/>
    </xf>
    <xf numFmtId="0" fontId="6" fillId="22" borderId="0" xfId="0" applyFont="1" applyFill="1" applyAlignment="1">
      <alignment horizontal="center"/>
    </xf>
    <xf numFmtId="170" fontId="6" fillId="2" borderId="0" xfId="0" applyNumberFormat="1" applyFont="1" applyFill="1" applyAlignment="1">
      <alignment horizontal="center"/>
    </xf>
    <xf numFmtId="37" fontId="6" fillId="2" borderId="0" xfId="0" applyNumberFormat="1" applyFont="1" applyFill="1" applyAlignment="1">
      <alignment horizontal="center"/>
    </xf>
    <xf numFmtId="171" fontId="6" fillId="0" borderId="8" xfId="0" applyNumberFormat="1" applyFont="1" applyBorder="1" applyAlignment="1">
      <alignment horizontal="center"/>
    </xf>
    <xf numFmtId="3" fontId="6" fillId="0" borderId="8" xfId="0" applyNumberFormat="1" applyFont="1" applyBorder="1" applyAlignment="1">
      <alignment horizontal="center"/>
    </xf>
    <xf numFmtId="171" fontId="6" fillId="22" borderId="0" xfId="0" applyNumberFormat="1" applyFont="1" applyFill="1" applyAlignment="1">
      <alignment horizontal="center"/>
    </xf>
    <xf numFmtId="0" fontId="4" fillId="11" borderId="2" xfId="0" applyFont="1" applyFill="1" applyBorder="1" applyAlignment="1">
      <alignment horizontal="right"/>
    </xf>
    <xf numFmtId="0" fontId="6" fillId="0" borderId="8" xfId="0" applyFont="1" applyBorder="1"/>
    <xf numFmtId="0" fontId="6" fillId="0" borderId="8" xfId="0" applyFont="1" applyBorder="1" applyAlignment="1">
      <alignment horizontal="center"/>
    </xf>
    <xf numFmtId="0" fontId="1" fillId="0" borderId="0" xfId="0" applyFont="1" applyAlignment="1">
      <alignment horizontal="center" readingOrder="2"/>
    </xf>
    <xf numFmtId="0" fontId="1" fillId="0" borderId="13" xfId="0" applyFont="1" applyBorder="1" applyAlignment="1">
      <alignment horizontal="center" readingOrder="2"/>
    </xf>
    <xf numFmtId="0" fontId="26" fillId="0" borderId="0" xfId="0" applyFont="1" applyAlignment="1">
      <alignment horizontal="center"/>
    </xf>
    <xf numFmtId="0" fontId="2" fillId="23" borderId="3" xfId="0" applyFont="1" applyFill="1" applyBorder="1" applyAlignment="1">
      <alignment horizontal="center" vertical="center"/>
    </xf>
    <xf numFmtId="0" fontId="2" fillId="23" borderId="12" xfId="0" applyFont="1" applyFill="1" applyBorder="1" applyAlignment="1">
      <alignment horizontal="center" vertical="center"/>
    </xf>
    <xf numFmtId="0" fontId="2" fillId="23" borderId="5" xfId="0" applyFont="1" applyFill="1" applyBorder="1" applyAlignment="1">
      <alignment horizontal="center" vertical="center"/>
    </xf>
    <xf numFmtId="0" fontId="2" fillId="23" borderId="24" xfId="0" applyFont="1" applyFill="1" applyBorder="1" applyAlignment="1">
      <alignment horizontal="center" vertical="center"/>
    </xf>
    <xf numFmtId="0" fontId="2" fillId="23" borderId="18" xfId="0" applyFont="1" applyFill="1" applyBorder="1" applyAlignment="1">
      <alignment horizontal="center" vertical="center"/>
    </xf>
    <xf numFmtId="0" fontId="1" fillId="11" borderId="19" xfId="0" applyFont="1" applyFill="1" applyBorder="1" applyAlignment="1">
      <alignment horizontal="center"/>
    </xf>
    <xf numFmtId="0" fontId="1" fillId="11" borderId="21" xfId="0" applyFont="1" applyFill="1" applyBorder="1" applyAlignment="1">
      <alignment horizontal="center"/>
    </xf>
    <xf numFmtId="0" fontId="1" fillId="11" borderId="20" xfId="0" applyFont="1" applyFill="1" applyBorder="1" applyAlignment="1">
      <alignment horizontal="center"/>
    </xf>
    <xf numFmtId="0" fontId="1" fillId="4" borderId="0" xfId="0" applyFont="1" applyFill="1" applyAlignment="1">
      <alignment horizontal="center"/>
    </xf>
    <xf numFmtId="0" fontId="1" fillId="4" borderId="1" xfId="0" applyFont="1" applyFill="1" applyBorder="1" applyAlignment="1">
      <alignment horizontal="center"/>
    </xf>
    <xf numFmtId="0" fontId="1" fillId="2" borderId="0" xfId="0" applyFont="1" applyFill="1" applyAlignment="1">
      <alignment horizontal="center" vertical="center"/>
    </xf>
    <xf numFmtId="0" fontId="1" fillId="2" borderId="1" xfId="0" applyFont="1" applyFill="1" applyBorder="1" applyAlignment="1">
      <alignment horizontal="center" vertical="center"/>
    </xf>
    <xf numFmtId="0" fontId="1" fillId="0" borderId="0" xfId="0" applyFont="1" applyAlignment="1">
      <alignment horizontal="center" vertical="center"/>
    </xf>
    <xf numFmtId="0" fontId="1" fillId="0" borderId="1" xfId="0" applyFont="1" applyBorder="1" applyAlignment="1">
      <alignment horizontal="center" vertical="center"/>
    </xf>
    <xf numFmtId="0" fontId="1" fillId="2" borderId="0" xfId="0" applyFont="1" applyFill="1" applyAlignment="1">
      <alignment horizontal="center" vertical="center" wrapText="1"/>
    </xf>
    <xf numFmtId="0" fontId="1" fillId="4" borderId="1" xfId="0" applyFont="1" applyFill="1" applyBorder="1" applyAlignment="1">
      <alignment horizontal="center" wrapText="1"/>
    </xf>
    <xf numFmtId="0" fontId="1" fillId="2" borderId="1" xfId="0" applyFont="1" applyFill="1" applyBorder="1" applyAlignment="1">
      <alignment horizontal="center" vertical="center" wrapText="1"/>
    </xf>
    <xf numFmtId="0" fontId="1" fillId="7" borderId="0" xfId="0" applyFont="1" applyFill="1" applyAlignment="1">
      <alignment horizontal="center"/>
    </xf>
    <xf numFmtId="0" fontId="1" fillId="0" borderId="0" xfId="0" applyFont="1" applyAlignment="1">
      <alignment horizontal="center"/>
    </xf>
    <xf numFmtId="0" fontId="1" fillId="0" borderId="3" xfId="0" applyFont="1" applyBorder="1" applyAlignment="1">
      <alignment horizontal="center"/>
    </xf>
    <xf numFmtId="0" fontId="1" fillId="0" borderId="4" xfId="0" applyFont="1" applyBorder="1" applyAlignment="1">
      <alignment horizontal="center"/>
    </xf>
    <xf numFmtId="0" fontId="6" fillId="0" borderId="22" xfId="0" applyFont="1" applyBorder="1" applyAlignment="1">
      <alignment horizontal="right" wrapText="1"/>
    </xf>
    <xf numFmtId="0" fontId="6" fillId="16" borderId="0" xfId="0" applyFont="1" applyFill="1" applyAlignment="1">
      <alignment horizontal="center" wrapText="1"/>
    </xf>
    <xf numFmtId="0" fontId="6" fillId="9" borderId="0" xfId="0" applyFont="1" applyFill="1" applyAlignment="1">
      <alignment horizontal="right" wrapText="1"/>
    </xf>
    <xf numFmtId="0" fontId="6" fillId="9" borderId="21" xfId="0" applyFont="1" applyFill="1" applyBorder="1" applyAlignment="1">
      <alignment horizontal="right" wrapText="1"/>
    </xf>
    <xf numFmtId="0" fontId="6" fillId="9" borderId="20" xfId="0" applyFont="1" applyFill="1" applyBorder="1" applyAlignment="1">
      <alignment horizontal="right" wrapText="1"/>
    </xf>
    <xf numFmtId="0" fontId="6" fillId="0" borderId="21" xfId="0" applyFont="1" applyBorder="1" applyAlignment="1">
      <alignment horizontal="right" wrapText="1"/>
    </xf>
    <xf numFmtId="0" fontId="6" fillId="0" borderId="3" xfId="0" applyFont="1" applyBorder="1" applyAlignment="1">
      <alignment horizontal="center" wrapText="1"/>
    </xf>
    <xf numFmtId="0" fontId="4" fillId="0" borderId="22" xfId="0" applyFont="1" applyBorder="1" applyAlignment="1">
      <alignment horizontal="center" wrapText="1"/>
    </xf>
    <xf numFmtId="0" fontId="4" fillId="0" borderId="4" xfId="0" applyFont="1" applyBorder="1" applyAlignment="1">
      <alignment horizontal="center" wrapText="1"/>
    </xf>
    <xf numFmtId="0" fontId="6" fillId="0" borderId="12" xfId="0" applyFont="1" applyBorder="1" applyAlignment="1">
      <alignment horizontal="center" wrapText="1"/>
    </xf>
    <xf numFmtId="0" fontId="6" fillId="0" borderId="0" xfId="0" applyFont="1" applyAlignment="1">
      <alignment horizontal="center"/>
    </xf>
    <xf numFmtId="0" fontId="6" fillId="0" borderId="13" xfId="0" applyFont="1" applyBorder="1" applyAlignment="1">
      <alignment horizontal="center"/>
    </xf>
    <xf numFmtId="0" fontId="6" fillId="0" borderId="5" xfId="0" applyFont="1" applyBorder="1" applyAlignment="1">
      <alignment horizontal="center" wrapText="1"/>
    </xf>
    <xf numFmtId="0" fontId="6" fillId="0" borderId="23" xfId="0" applyFont="1" applyBorder="1" applyAlignment="1">
      <alignment horizontal="center"/>
    </xf>
    <xf numFmtId="0" fontId="6" fillId="0" borderId="6" xfId="0" applyFont="1" applyBorder="1" applyAlignment="1">
      <alignment horizontal="center"/>
    </xf>
    <xf numFmtId="0" fontId="4" fillId="0" borderId="0" xfId="0" applyFont="1" applyAlignment="1">
      <alignment horizontal="center"/>
    </xf>
    <xf numFmtId="0" fontId="4" fillId="0" borderId="13" xfId="0" applyFont="1" applyBorder="1" applyAlignment="1">
      <alignment horizontal="center"/>
    </xf>
    <xf numFmtId="9" fontId="1" fillId="0" borderId="5" xfId="0" applyNumberFormat="1" applyFont="1" applyBorder="1" applyAlignment="1">
      <alignment horizontal="center"/>
    </xf>
    <xf numFmtId="9" fontId="1" fillId="0" borderId="6" xfId="0" applyNumberFormat="1" applyFont="1" applyBorder="1" applyAlignment="1">
      <alignment horizontal="center"/>
    </xf>
    <xf numFmtId="9" fontId="1" fillId="0" borderId="12" xfId="0" applyNumberFormat="1" applyFont="1" applyBorder="1" applyAlignment="1">
      <alignment horizontal="center"/>
    </xf>
    <xf numFmtId="9" fontId="1" fillId="0" borderId="13" xfId="0" applyNumberFormat="1" applyFont="1" applyBorder="1" applyAlignment="1">
      <alignment horizontal="center"/>
    </xf>
    <xf numFmtId="3" fontId="1" fillId="0" borderId="0" xfId="0" applyNumberFormat="1" applyFont="1" applyAlignment="1">
      <alignment horizontal="center" vertical="center"/>
    </xf>
    <xf numFmtId="0" fontId="6" fillId="0" borderId="0" xfId="0" applyFont="1" applyAlignment="1">
      <alignment horizontal="center" wrapText="1"/>
    </xf>
    <xf numFmtId="0" fontId="6" fillId="9" borderId="9" xfId="0" applyFont="1" applyFill="1" applyBorder="1" applyAlignment="1">
      <alignment horizontal="right" wrapText="1"/>
    </xf>
    <xf numFmtId="0" fontId="2" fillId="0" borderId="19" xfId="0" applyFont="1" applyBorder="1" applyAlignment="1">
      <alignment horizontal="center"/>
    </xf>
    <xf numFmtId="0" fontId="2" fillId="0" borderId="20" xfId="0" applyFont="1" applyBorder="1" applyAlignment="1">
      <alignment horizontal="center"/>
    </xf>
    <xf numFmtId="0" fontId="7" fillId="0" borderId="19" xfId="0" applyFont="1" applyBorder="1" applyAlignment="1">
      <alignment horizontal="center"/>
    </xf>
    <xf numFmtId="0" fontId="7" fillId="0" borderId="20" xfId="0" applyFont="1" applyBorder="1" applyAlignment="1">
      <alignment horizontal="center"/>
    </xf>
    <xf numFmtId="0" fontId="6" fillId="9" borderId="0" xfId="0" applyFont="1" applyFill="1" applyAlignment="1">
      <alignment horizontal="center" wrapText="1"/>
    </xf>
    <xf numFmtId="0" fontId="6" fillId="9" borderId="0" xfId="0" applyFont="1" applyFill="1" applyAlignment="1">
      <alignment horizontal="center"/>
    </xf>
    <xf numFmtId="0" fontId="33" fillId="0" borderId="9" xfId="0" applyFont="1" applyBorder="1" applyAlignment="1">
      <alignment horizontal="right" wrapText="1"/>
    </xf>
    <xf numFmtId="0" fontId="2" fillId="2" borderId="0" xfId="0" applyFont="1" applyFill="1" applyAlignment="1">
      <alignment horizontal="center" wrapText="1"/>
    </xf>
    <xf numFmtId="0" fontId="2" fillId="2" borderId="0" xfId="0" applyFont="1" applyFill="1" applyAlignment="1">
      <alignment horizontal="center"/>
    </xf>
    <xf numFmtId="0" fontId="1" fillId="0" borderId="9" xfId="0" applyFont="1" applyBorder="1" applyAlignment="1">
      <alignment horizontal="right"/>
    </xf>
    <xf numFmtId="0" fontId="1" fillId="0" borderId="0" xfId="0" applyFont="1" applyAlignment="1">
      <alignment horizontal="right"/>
    </xf>
    <xf numFmtId="0" fontId="2" fillId="0" borderId="0" xfId="0" applyFont="1" applyAlignment="1">
      <alignment horizontal="center"/>
    </xf>
    <xf numFmtId="37" fontId="1" fillId="2" borderId="0" xfId="0" applyNumberFormat="1" applyFont="1" applyFill="1" applyAlignment="1">
      <alignment horizontal="center" vertical="center"/>
    </xf>
    <xf numFmtId="0" fontId="27" fillId="0" borderId="19" xfId="0" applyFont="1" applyBorder="1" applyAlignment="1">
      <alignment horizontal="center"/>
    </xf>
    <xf numFmtId="0" fontId="27" fillId="0" borderId="21" xfId="0" applyFont="1" applyBorder="1" applyAlignment="1">
      <alignment horizontal="center"/>
    </xf>
    <xf numFmtId="0" fontId="27" fillId="0" borderId="20" xfId="0" applyFont="1" applyBorder="1" applyAlignment="1">
      <alignment horizontal="center"/>
    </xf>
    <xf numFmtId="0" fontId="27" fillId="0" borderId="0" xfId="0" applyFont="1" applyAlignment="1">
      <alignment horizontal="center"/>
    </xf>
    <xf numFmtId="0" fontId="8" fillId="0" borderId="0" xfId="0" applyFont="1" applyAlignment="1">
      <alignment horizontal="right" wrapText="1"/>
    </xf>
    <xf numFmtId="0" fontId="1" fillId="0" borderId="0" xfId="0" applyFont="1" applyAlignment="1">
      <alignment horizontal="center" wrapText="1"/>
    </xf>
    <xf numFmtId="0" fontId="24" fillId="0" borderId="0" xfId="0" applyFont="1" applyAlignment="1">
      <alignment horizontal="right" vertical="center" wrapText="1" readingOrder="2"/>
    </xf>
    <xf numFmtId="0" fontId="2" fillId="2" borderId="0" xfId="0" applyFont="1" applyFill="1" applyAlignment="1">
      <alignment horizontal="right"/>
    </xf>
    <xf numFmtId="0" fontId="1" fillId="0" borderId="0" xfId="0" applyFont="1" applyBorder="1"/>
    <xf numFmtId="0" fontId="2" fillId="2" borderId="12" xfId="0" applyFont="1" applyFill="1" applyBorder="1"/>
    <xf numFmtId="0" fontId="2" fillId="2" borderId="13" xfId="0" applyFont="1" applyFill="1" applyBorder="1"/>
    <xf numFmtId="0" fontId="2" fillId="2" borderId="5" xfId="0" applyFont="1" applyFill="1" applyBorder="1"/>
    <xf numFmtId="0" fontId="2" fillId="2" borderId="6" xfId="0" applyFont="1" applyFill="1" applyBorder="1"/>
    <xf numFmtId="0" fontId="41" fillId="0" borderId="3" xfId="0" applyFont="1" applyBorder="1"/>
    <xf numFmtId="0" fontId="41" fillId="0" borderId="4" xfId="0" applyFont="1" applyBorder="1"/>
    <xf numFmtId="0" fontId="41" fillId="0" borderId="12" xfId="0" applyFont="1" applyBorder="1"/>
    <xf numFmtId="0" fontId="41" fillId="0" borderId="13" xfId="0" applyFont="1" applyBorder="1"/>
    <xf numFmtId="0" fontId="41" fillId="0" borderId="5" xfId="0" applyFont="1" applyBorder="1"/>
    <xf numFmtId="0" fontId="41" fillId="0" borderId="6" xfId="0" applyFont="1" applyBorder="1"/>
    <xf numFmtId="37" fontId="1" fillId="0" borderId="24" xfId="0" applyNumberFormat="1" applyFont="1" applyBorder="1" applyAlignment="1">
      <alignment horizontal="center"/>
    </xf>
    <xf numFmtId="37" fontId="1" fillId="0" borderId="18" xfId="0" applyNumberFormat="1" applyFont="1" applyBorder="1" applyAlignment="1">
      <alignment horizontal="center"/>
    </xf>
  </cellXfs>
  <cellStyles count="3">
    <cellStyle name="Comma" xfId="2" builtinId="3"/>
    <cellStyle name="Hyperlink" xfId="1" builtinId="8"/>
    <cellStyle name="Normal" xfId="0" builtinId="0"/>
  </cellStyles>
  <dxfs count="0"/>
  <tableStyles count="0" defaultTableStyle="TableStyleMedium2" defaultPivotStyle="PivotStyleLight16"/>
  <colors>
    <mruColors>
      <color rgb="FF73FEFF"/>
      <color rgb="FF942092"/>
      <color rgb="FFFF8AD8"/>
      <color rgb="FFFFA1F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microsoft.com/office/2017/10/relationships/person" Target="persons/perso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tyles" Target="styles.xml"/><Relationship Id="rId30"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jpe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3" Type="http://schemas.openxmlformats.org/officeDocument/2006/relationships/image" Target="../media/image38.png"/><Relationship Id="rId2" Type="http://schemas.openxmlformats.org/officeDocument/2006/relationships/image" Target="../media/image37.jpeg"/><Relationship Id="rId1" Type="http://schemas.openxmlformats.org/officeDocument/2006/relationships/image" Target="../media/image36.jpeg"/><Relationship Id="rId4" Type="http://schemas.openxmlformats.org/officeDocument/2006/relationships/image" Target="../media/image39.png"/></Relationships>
</file>

<file path=xl/drawings/_rels/drawing11.xml.rels><?xml version="1.0" encoding="UTF-8" standalone="yes"?>
<Relationships xmlns="http://schemas.openxmlformats.org/package/2006/relationships"><Relationship Id="rId3" Type="http://schemas.openxmlformats.org/officeDocument/2006/relationships/image" Target="../media/image42.png"/><Relationship Id="rId2" Type="http://schemas.openxmlformats.org/officeDocument/2006/relationships/image" Target="../media/image41.png"/><Relationship Id="rId1" Type="http://schemas.openxmlformats.org/officeDocument/2006/relationships/image" Target="../media/image40.png"/><Relationship Id="rId4" Type="http://schemas.openxmlformats.org/officeDocument/2006/relationships/image" Target="../media/image43.png"/></Relationships>
</file>

<file path=xl/drawings/_rels/drawing12.xml.rels><?xml version="1.0" encoding="UTF-8" standalone="yes"?>
<Relationships xmlns="http://schemas.openxmlformats.org/package/2006/relationships"><Relationship Id="rId3" Type="http://schemas.openxmlformats.org/officeDocument/2006/relationships/image" Target="../media/image46.png"/><Relationship Id="rId2" Type="http://schemas.openxmlformats.org/officeDocument/2006/relationships/image" Target="../media/image45.png"/><Relationship Id="rId1" Type="http://schemas.openxmlformats.org/officeDocument/2006/relationships/image" Target="../media/image44.png"/><Relationship Id="rId6" Type="http://schemas.openxmlformats.org/officeDocument/2006/relationships/image" Target="../media/image49.png"/><Relationship Id="rId5" Type="http://schemas.openxmlformats.org/officeDocument/2006/relationships/image" Target="../media/image48.png"/><Relationship Id="rId4" Type="http://schemas.openxmlformats.org/officeDocument/2006/relationships/image" Target="../media/image47.png"/></Relationships>
</file>

<file path=xl/drawings/_rels/drawing13.xml.rels><?xml version="1.0" encoding="UTF-8" standalone="yes"?>
<Relationships xmlns="http://schemas.openxmlformats.org/package/2006/relationships"><Relationship Id="rId3" Type="http://schemas.openxmlformats.org/officeDocument/2006/relationships/image" Target="../media/image52.png"/><Relationship Id="rId2" Type="http://schemas.openxmlformats.org/officeDocument/2006/relationships/image" Target="../media/image51.png"/><Relationship Id="rId1" Type="http://schemas.openxmlformats.org/officeDocument/2006/relationships/image" Target="../media/image50.png"/></Relationships>
</file>

<file path=xl/drawings/_rels/drawing14.xml.rels><?xml version="1.0" encoding="UTF-8" standalone="yes"?>
<Relationships xmlns="http://schemas.openxmlformats.org/package/2006/relationships"><Relationship Id="rId2" Type="http://schemas.openxmlformats.org/officeDocument/2006/relationships/image" Target="../media/image54.png"/><Relationship Id="rId1" Type="http://schemas.openxmlformats.org/officeDocument/2006/relationships/image" Target="../media/image53.jpeg"/></Relationships>
</file>

<file path=xl/drawings/_rels/drawing15.xml.rels><?xml version="1.0" encoding="UTF-8" standalone="yes"?>
<Relationships xmlns="http://schemas.openxmlformats.org/package/2006/relationships"><Relationship Id="rId3" Type="http://schemas.openxmlformats.org/officeDocument/2006/relationships/image" Target="../media/image57.png"/><Relationship Id="rId2" Type="http://schemas.openxmlformats.org/officeDocument/2006/relationships/image" Target="../media/image56.png"/><Relationship Id="rId1" Type="http://schemas.openxmlformats.org/officeDocument/2006/relationships/image" Target="../media/image55.png"/><Relationship Id="rId4" Type="http://schemas.openxmlformats.org/officeDocument/2006/relationships/image" Target="../media/image58.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1.png"/><Relationship Id="rId5" Type="http://schemas.openxmlformats.org/officeDocument/2006/relationships/image" Target="../media/image10.jpe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1" Type="http://schemas.openxmlformats.org/officeDocument/2006/relationships/image" Target="../media/image12.png"/></Relationships>
</file>

<file path=xl/drawings/_rels/drawing4.xml.rels><?xml version="1.0" encoding="UTF-8" standalone="yes"?>
<Relationships xmlns="http://schemas.openxmlformats.org/package/2006/relationships"><Relationship Id="rId2" Type="http://schemas.openxmlformats.org/officeDocument/2006/relationships/image" Target="../media/image14.png"/><Relationship Id="rId1" Type="http://schemas.openxmlformats.org/officeDocument/2006/relationships/image" Target="../media/image13.png"/></Relationships>
</file>

<file path=xl/drawings/_rels/drawing5.xml.rels><?xml version="1.0" encoding="UTF-8" standalone="yes"?>
<Relationships xmlns="http://schemas.openxmlformats.org/package/2006/relationships"><Relationship Id="rId3" Type="http://schemas.openxmlformats.org/officeDocument/2006/relationships/image" Target="../media/image17.png"/><Relationship Id="rId2" Type="http://schemas.openxmlformats.org/officeDocument/2006/relationships/image" Target="../media/image16.jpeg"/><Relationship Id="rId1" Type="http://schemas.openxmlformats.org/officeDocument/2006/relationships/image" Target="../media/image15.png"/></Relationships>
</file>

<file path=xl/drawings/_rels/drawing6.xml.rels><?xml version="1.0" encoding="UTF-8" standalone="yes"?>
<Relationships xmlns="http://schemas.openxmlformats.org/package/2006/relationships"><Relationship Id="rId1" Type="http://schemas.openxmlformats.org/officeDocument/2006/relationships/image" Target="../media/image18.png"/></Relationships>
</file>

<file path=xl/drawings/_rels/drawing8.xml.rels><?xml version="1.0" encoding="UTF-8" standalone="yes"?>
<Relationships xmlns="http://schemas.openxmlformats.org/package/2006/relationships"><Relationship Id="rId2" Type="http://schemas.openxmlformats.org/officeDocument/2006/relationships/image" Target="../media/image20.png"/><Relationship Id="rId1" Type="http://schemas.openxmlformats.org/officeDocument/2006/relationships/image" Target="../media/image19.png"/></Relationships>
</file>

<file path=xl/drawings/_rels/drawing9.xml.rels><?xml version="1.0" encoding="UTF-8" standalone="yes"?>
<Relationships xmlns="http://schemas.openxmlformats.org/package/2006/relationships"><Relationship Id="rId8" Type="http://schemas.openxmlformats.org/officeDocument/2006/relationships/image" Target="../media/image28.png"/><Relationship Id="rId13" Type="http://schemas.openxmlformats.org/officeDocument/2006/relationships/image" Target="../media/image33.png"/><Relationship Id="rId3" Type="http://schemas.openxmlformats.org/officeDocument/2006/relationships/image" Target="../media/image23.png"/><Relationship Id="rId7" Type="http://schemas.openxmlformats.org/officeDocument/2006/relationships/image" Target="../media/image27.png"/><Relationship Id="rId12" Type="http://schemas.openxmlformats.org/officeDocument/2006/relationships/image" Target="../media/image32.png"/><Relationship Id="rId2" Type="http://schemas.openxmlformats.org/officeDocument/2006/relationships/image" Target="../media/image22.png"/><Relationship Id="rId1" Type="http://schemas.openxmlformats.org/officeDocument/2006/relationships/image" Target="../media/image21.png"/><Relationship Id="rId6" Type="http://schemas.openxmlformats.org/officeDocument/2006/relationships/image" Target="../media/image26.jpeg"/><Relationship Id="rId11" Type="http://schemas.openxmlformats.org/officeDocument/2006/relationships/image" Target="../media/image31.png"/><Relationship Id="rId5" Type="http://schemas.openxmlformats.org/officeDocument/2006/relationships/image" Target="../media/image25.jpeg"/><Relationship Id="rId15" Type="http://schemas.openxmlformats.org/officeDocument/2006/relationships/image" Target="../media/image35.png"/><Relationship Id="rId10" Type="http://schemas.openxmlformats.org/officeDocument/2006/relationships/image" Target="../media/image30.png"/><Relationship Id="rId4" Type="http://schemas.openxmlformats.org/officeDocument/2006/relationships/image" Target="../media/image24.png"/><Relationship Id="rId9" Type="http://schemas.openxmlformats.org/officeDocument/2006/relationships/image" Target="../media/image29.png"/><Relationship Id="rId14" Type="http://schemas.openxmlformats.org/officeDocument/2006/relationships/image" Target="../media/image34.png"/></Relationships>
</file>

<file path=xl/drawings/drawing1.xml><?xml version="1.0" encoding="utf-8"?>
<xdr:wsDr xmlns:xdr="http://schemas.openxmlformats.org/drawingml/2006/spreadsheetDrawing" xmlns:a="http://schemas.openxmlformats.org/drawingml/2006/main">
  <xdr:twoCellAnchor>
    <xdr:from>
      <xdr:col>5</xdr:col>
      <xdr:colOff>689085</xdr:colOff>
      <xdr:row>7</xdr:row>
      <xdr:rowOff>80127</xdr:rowOff>
    </xdr:from>
    <xdr:to>
      <xdr:col>7</xdr:col>
      <xdr:colOff>751221</xdr:colOff>
      <xdr:row>11</xdr:row>
      <xdr:rowOff>158330</xdr:rowOff>
    </xdr:to>
    <xdr:sp macro="" textlink="">
      <xdr:nvSpPr>
        <xdr:cNvPr id="2" name="Rectangle 1">
          <a:extLst>
            <a:ext uri="{FF2B5EF4-FFF2-40B4-BE49-F238E27FC236}">
              <a16:creationId xmlns:a16="http://schemas.microsoft.com/office/drawing/2014/main" id="{CCFD18A8-E3AE-3CD6-887F-8CF2A352D704}"/>
            </a:ext>
          </a:extLst>
        </xdr:cNvPr>
        <xdr:cNvSpPr/>
      </xdr:nvSpPr>
      <xdr:spPr>
        <a:xfrm>
          <a:off x="13515181713" y="1774796"/>
          <a:ext cx="1712735" cy="8954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latin typeface="David" panose="020E0502060401010101" pitchFamily="34" charset="-79"/>
              <a:cs typeface="David" panose="020E0502060401010101" pitchFamily="34" charset="-79"/>
            </a:rPr>
            <a:t>חברה המעוניינת לגייס כסף (הלוואה / השקעה) צריכה לתת למשקיעים נתונים שיתמכו בכך. </a:t>
          </a:r>
        </a:p>
        <a:p>
          <a:pPr algn="r" rtl="1"/>
          <a:r>
            <a:rPr lang="he-IL" sz="1100">
              <a:latin typeface="David" panose="020E0502060401010101" pitchFamily="34" charset="-79"/>
              <a:cs typeface="David" panose="020E0502060401010101" pitchFamily="34" charset="-79"/>
            </a:rPr>
            <a:t>החשבונאות הפיננסית תסייע</a:t>
          </a:r>
          <a:endParaRPr lang="en-US" sz="1100">
            <a:latin typeface="David" panose="020E0502060401010101" pitchFamily="34" charset="-79"/>
            <a:cs typeface="David" panose="020E0502060401010101" pitchFamily="34" charset="-79"/>
          </a:endParaRPr>
        </a:p>
      </xdr:txBody>
    </xdr:sp>
    <xdr:clientData/>
  </xdr:twoCellAnchor>
  <xdr:twoCellAnchor editAs="oneCell">
    <xdr:from>
      <xdr:col>0</xdr:col>
      <xdr:colOff>37056</xdr:colOff>
      <xdr:row>28</xdr:row>
      <xdr:rowOff>47162</xdr:rowOff>
    </xdr:from>
    <xdr:to>
      <xdr:col>2</xdr:col>
      <xdr:colOff>703232</xdr:colOff>
      <xdr:row>40</xdr:row>
      <xdr:rowOff>52652</xdr:rowOff>
    </xdr:to>
    <xdr:pic>
      <xdr:nvPicPr>
        <xdr:cNvPr id="3" name="Picture 2">
          <a:extLst>
            <a:ext uri="{FF2B5EF4-FFF2-40B4-BE49-F238E27FC236}">
              <a16:creationId xmlns:a16="http://schemas.microsoft.com/office/drawing/2014/main" id="{ED501E6A-85C0-16DE-7B09-71FDF74449FF}"/>
            </a:ext>
          </a:extLst>
        </xdr:cNvPr>
        <xdr:cNvPicPr>
          <a:picLocks noChangeAspect="1"/>
        </xdr:cNvPicPr>
      </xdr:nvPicPr>
      <xdr:blipFill>
        <a:blip xmlns:r="http://schemas.openxmlformats.org/officeDocument/2006/relationships" r:embed="rId1"/>
        <a:stretch>
          <a:fillRect/>
        </a:stretch>
      </xdr:blipFill>
      <xdr:spPr>
        <a:xfrm>
          <a:off x="13519763987" y="4776817"/>
          <a:ext cx="2811981" cy="2430954"/>
        </a:xfrm>
        <a:prstGeom prst="rect">
          <a:avLst/>
        </a:prstGeom>
      </xdr:spPr>
    </xdr:pic>
    <xdr:clientData/>
  </xdr:twoCellAnchor>
  <xdr:twoCellAnchor>
    <xdr:from>
      <xdr:col>3</xdr:col>
      <xdr:colOff>212227</xdr:colOff>
      <xdr:row>37</xdr:row>
      <xdr:rowOff>77480</xdr:rowOff>
    </xdr:from>
    <xdr:to>
      <xdr:col>7</xdr:col>
      <xdr:colOff>643422</xdr:colOff>
      <xdr:row>43</xdr:row>
      <xdr:rowOff>77480</xdr:rowOff>
    </xdr:to>
    <xdr:sp macro="" textlink="">
      <xdr:nvSpPr>
        <xdr:cNvPr id="4" name="Rounded Rectangular Callout 3">
          <a:extLst>
            <a:ext uri="{FF2B5EF4-FFF2-40B4-BE49-F238E27FC236}">
              <a16:creationId xmlns:a16="http://schemas.microsoft.com/office/drawing/2014/main" id="{E1FC055F-BD88-6DE6-04AB-64B879A247C1}"/>
            </a:ext>
          </a:extLst>
        </xdr:cNvPr>
        <xdr:cNvSpPr/>
      </xdr:nvSpPr>
      <xdr:spPr>
        <a:xfrm>
          <a:off x="13515811618" y="6626233"/>
          <a:ext cx="3732521" cy="1212732"/>
        </a:xfrm>
        <a:prstGeom prst="wedgeRoundRectCallout">
          <a:avLst>
            <a:gd name="adj1" fmla="val 57261"/>
            <a:gd name="adj2" fmla="val -1682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נניח שמדובר בעובד בתחום המחקר והפיתוח; כאשר הוא משלים פרויקט לוקח המון זמן עד שהתוצאות</a:t>
          </a:r>
          <a:r>
            <a:rPr lang="he-IL" sz="1100" baseline="0"/>
            <a:t> הופכות לכסף - צריך לייצר, לשווק, למכור...</a:t>
          </a:r>
        </a:p>
        <a:p>
          <a:pPr algn="r" rtl="1"/>
          <a:r>
            <a:rPr lang="he-IL" sz="1100" baseline="0"/>
            <a:t>אך העובד תורם המון לחברה! בביצוע המחקר הייחודי!</a:t>
          </a:r>
        </a:p>
        <a:p>
          <a:pPr algn="r" rtl="1"/>
          <a:r>
            <a:rPr lang="he-IL" sz="1100"/>
            <a:t>מי שחושב שרק הסכום שנכנס כל יום קובע - יחשוב שאין לקדם / לשמר עובד זה</a:t>
          </a:r>
          <a:endParaRPr lang="en-US" sz="1100"/>
        </a:p>
      </xdr:txBody>
    </xdr:sp>
    <xdr:clientData/>
  </xdr:twoCellAnchor>
  <xdr:twoCellAnchor>
    <xdr:from>
      <xdr:col>3</xdr:col>
      <xdr:colOff>218965</xdr:colOff>
      <xdr:row>30</xdr:row>
      <xdr:rowOff>175172</xdr:rowOff>
    </xdr:from>
    <xdr:to>
      <xdr:col>7</xdr:col>
      <xdr:colOff>650160</xdr:colOff>
      <xdr:row>36</xdr:row>
      <xdr:rowOff>175172</xdr:rowOff>
    </xdr:to>
    <xdr:sp macro="" textlink="">
      <xdr:nvSpPr>
        <xdr:cNvPr id="5" name="Rounded Rectangular Callout 4">
          <a:extLst>
            <a:ext uri="{FF2B5EF4-FFF2-40B4-BE49-F238E27FC236}">
              <a16:creationId xmlns:a16="http://schemas.microsoft.com/office/drawing/2014/main" id="{BD9E0A10-F0A1-1958-30FC-FB5CB2C69A1B}"/>
            </a:ext>
          </a:extLst>
        </xdr:cNvPr>
        <xdr:cNvSpPr/>
      </xdr:nvSpPr>
      <xdr:spPr>
        <a:xfrm>
          <a:off x="13515804880" y="5309071"/>
          <a:ext cx="3732521" cy="1212732"/>
        </a:xfrm>
        <a:prstGeom prst="wedgeRoundRectCallout">
          <a:avLst>
            <a:gd name="adj1" fmla="val 56900"/>
            <a:gd name="adj2" fmla="val 3540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זו</a:t>
          </a:r>
          <a:r>
            <a:rPr lang="he-IL" sz="1100" baseline="0"/>
            <a:t> התשובה הנכונה. ומדוע? משום שכשאנחנו מעריכים ביצועים, מה שחשוב הוא להעריך את התרומה הכוללת לחברה, ולאו דווקא את המועד המדויק שבו נקבל כסף. אם עובד הוא תותח על חלל, וצפוי להוביל את החברה לרווחים עצומים בעתיד, חשוב מאד לשמור עליו ולקדם אותו, גם אם הכסף מפעילותו ״טרם נכנס״</a:t>
          </a:r>
          <a:endParaRPr lang="en-US" sz="1100"/>
        </a:p>
      </xdr:txBody>
    </xdr:sp>
    <xdr:clientData/>
  </xdr:twoCellAnchor>
  <xdr:twoCellAnchor editAs="oneCell">
    <xdr:from>
      <xdr:col>9</xdr:col>
      <xdr:colOff>107558</xdr:colOff>
      <xdr:row>15</xdr:row>
      <xdr:rowOff>201426</xdr:rowOff>
    </xdr:from>
    <xdr:to>
      <xdr:col>10</xdr:col>
      <xdr:colOff>761557</xdr:colOff>
      <xdr:row>26</xdr:row>
      <xdr:rowOff>136515</xdr:rowOff>
    </xdr:to>
    <xdr:pic>
      <xdr:nvPicPr>
        <xdr:cNvPr id="6" name="Picture 5" descr="26 No ideas | bones funny, funny, memes">
          <a:extLst>
            <a:ext uri="{FF2B5EF4-FFF2-40B4-BE49-F238E27FC236}">
              <a16:creationId xmlns:a16="http://schemas.microsoft.com/office/drawing/2014/main" id="{CA694C2F-6543-22C2-7B0B-C2D56FD6FD39}"/>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3546456683" y="3523283"/>
          <a:ext cx="1481362" cy="21772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70326</xdr:colOff>
      <xdr:row>46</xdr:row>
      <xdr:rowOff>53055</xdr:rowOff>
    </xdr:from>
    <xdr:to>
      <xdr:col>2</xdr:col>
      <xdr:colOff>720189</xdr:colOff>
      <xdr:row>64</xdr:row>
      <xdr:rowOff>13435</xdr:rowOff>
    </xdr:to>
    <xdr:pic>
      <xdr:nvPicPr>
        <xdr:cNvPr id="7" name="Picture 6">
          <a:extLst>
            <a:ext uri="{FF2B5EF4-FFF2-40B4-BE49-F238E27FC236}">
              <a16:creationId xmlns:a16="http://schemas.microsoft.com/office/drawing/2014/main" id="{78D57993-1023-14EA-0E7D-87178A01A023}"/>
            </a:ext>
          </a:extLst>
        </xdr:cNvPr>
        <xdr:cNvPicPr>
          <a:picLocks noChangeAspect="1"/>
        </xdr:cNvPicPr>
      </xdr:nvPicPr>
      <xdr:blipFill>
        <a:blip xmlns:r="http://schemas.openxmlformats.org/officeDocument/2006/relationships" r:embed="rId3"/>
        <a:stretch>
          <a:fillRect/>
        </a:stretch>
      </xdr:blipFill>
      <xdr:spPr>
        <a:xfrm>
          <a:off x="13553001498" y="9683544"/>
          <a:ext cx="2800619" cy="3609044"/>
        </a:xfrm>
        <a:prstGeom prst="rect">
          <a:avLst/>
        </a:prstGeom>
      </xdr:spPr>
    </xdr:pic>
    <xdr:clientData/>
  </xdr:twoCellAnchor>
  <xdr:twoCellAnchor>
    <xdr:from>
      <xdr:col>3</xdr:col>
      <xdr:colOff>190293</xdr:colOff>
      <xdr:row>47</xdr:row>
      <xdr:rowOff>37231</xdr:rowOff>
    </xdr:from>
    <xdr:to>
      <xdr:col>7</xdr:col>
      <xdr:colOff>103420</xdr:colOff>
      <xdr:row>53</xdr:row>
      <xdr:rowOff>74462</xdr:rowOff>
    </xdr:to>
    <xdr:sp macro="" textlink="">
      <xdr:nvSpPr>
        <xdr:cNvPr id="8" name="Rounded Rectangular Callout 7">
          <a:extLst>
            <a:ext uri="{FF2B5EF4-FFF2-40B4-BE49-F238E27FC236}">
              <a16:creationId xmlns:a16="http://schemas.microsoft.com/office/drawing/2014/main" id="{BB7507B4-1D38-4533-F223-94C4296503E4}"/>
            </a:ext>
          </a:extLst>
        </xdr:cNvPr>
        <xdr:cNvSpPr/>
      </xdr:nvSpPr>
      <xdr:spPr>
        <a:xfrm>
          <a:off x="13549596906" y="9870423"/>
          <a:ext cx="3222573" cy="1253453"/>
        </a:xfrm>
        <a:prstGeom prst="wedgeRoundRectCallout">
          <a:avLst>
            <a:gd name="adj1" fmla="val 59473"/>
            <a:gd name="adj2" fmla="val 4262"/>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התשובה</a:t>
          </a:r>
          <a:r>
            <a:rPr lang="he-IL" sz="1100" baseline="0"/>
            <a:t> הנכונה: 2018. ומדוע? משום שבחשבונאות, מטרת השיקוף של ההכנסות היא להראות את השווי של הפעילות שהחברה ביצעה, ולא את העיתוי המדויק של גביית הכספים</a:t>
          </a:r>
        </a:p>
        <a:p>
          <a:pPr algn="r" rtl="1"/>
          <a:r>
            <a:rPr lang="he-IL" sz="1100" b="1" baseline="0"/>
            <a:t>אם בשנה מסוימת חברה סיפקה שירות שניתן להעריך את שוויו - תוכר הכנסה בגובה זה נקודה.</a:t>
          </a:r>
          <a:endParaRPr lang="en-US" sz="1100" b="1"/>
        </a:p>
      </xdr:txBody>
    </xdr:sp>
    <xdr:clientData/>
  </xdr:twoCellAnchor>
  <xdr:twoCellAnchor>
    <xdr:from>
      <xdr:col>3</xdr:col>
      <xdr:colOff>273029</xdr:colOff>
      <xdr:row>54</xdr:row>
      <xdr:rowOff>186157</xdr:rowOff>
    </xdr:from>
    <xdr:to>
      <xdr:col>7</xdr:col>
      <xdr:colOff>186156</xdr:colOff>
      <xdr:row>61</xdr:row>
      <xdr:rowOff>140652</xdr:rowOff>
    </xdr:to>
    <xdr:sp macro="" textlink="">
      <xdr:nvSpPr>
        <xdr:cNvPr id="9" name="Rounded Rectangular Callout 8">
          <a:extLst>
            <a:ext uri="{FF2B5EF4-FFF2-40B4-BE49-F238E27FC236}">
              <a16:creationId xmlns:a16="http://schemas.microsoft.com/office/drawing/2014/main" id="{3BCF2EFC-2752-30BA-FEB0-37E8171E05B7}"/>
            </a:ext>
          </a:extLst>
        </xdr:cNvPr>
        <xdr:cNvSpPr/>
      </xdr:nvSpPr>
      <xdr:spPr>
        <a:xfrm>
          <a:off x="13549514170" y="11438274"/>
          <a:ext cx="3222573" cy="1373420"/>
        </a:xfrm>
        <a:prstGeom prst="wedgeRoundRectCallout">
          <a:avLst>
            <a:gd name="adj1" fmla="val 59473"/>
            <a:gd name="adj2" fmla="val 4262"/>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התשובה הנכונה: יש לרשום הוצאה ב-2018. מדוע? כי השנה שבמהלכה בוצעה הפעילות (עבודת</a:t>
          </a:r>
          <a:r>
            <a:rPr lang="he-IL" sz="1100" baseline="0"/>
            <a:t> העובד) היא 2018 (דצמבר 2018). לא נוכל לטעון שיש להמנע מהוצאה עד התשלום. </a:t>
          </a:r>
        </a:p>
        <a:p>
          <a:pPr algn="r" rtl="1"/>
          <a:r>
            <a:rPr lang="he-IL" sz="1100" b="1"/>
            <a:t>אם בשנה מסוימת חברה צרכה שירות (כגון שירותי עבודה) שניתן להעריך את שוויו, תוכר הוצאה</a:t>
          </a:r>
          <a:r>
            <a:rPr lang="he-IL" sz="1100" b="1" baseline="0"/>
            <a:t> בגובה זה נקודה.</a:t>
          </a:r>
          <a:endParaRPr lang="en-US" sz="1100" b="1"/>
        </a:p>
      </xdr:txBody>
    </xdr:sp>
    <xdr:clientData/>
  </xdr:twoCellAnchor>
  <xdr:twoCellAnchor editAs="oneCell">
    <xdr:from>
      <xdr:col>0</xdr:col>
      <xdr:colOff>0</xdr:colOff>
      <xdr:row>100</xdr:row>
      <xdr:rowOff>70326</xdr:rowOff>
    </xdr:from>
    <xdr:to>
      <xdr:col>1</xdr:col>
      <xdr:colOff>794085</xdr:colOff>
      <xdr:row>116</xdr:row>
      <xdr:rowOff>148233</xdr:rowOff>
    </xdr:to>
    <xdr:pic>
      <xdr:nvPicPr>
        <xdr:cNvPr id="10" name="Picture 9">
          <a:extLst>
            <a:ext uri="{FF2B5EF4-FFF2-40B4-BE49-F238E27FC236}">
              <a16:creationId xmlns:a16="http://schemas.microsoft.com/office/drawing/2014/main" id="{4EA4074C-BAE9-D643-EF3C-6C3E2207FB93}"/>
            </a:ext>
          </a:extLst>
        </xdr:cNvPr>
        <xdr:cNvPicPr>
          <a:picLocks noChangeAspect="1"/>
        </xdr:cNvPicPr>
      </xdr:nvPicPr>
      <xdr:blipFill>
        <a:blip xmlns:r="http://schemas.openxmlformats.org/officeDocument/2006/relationships" r:embed="rId4"/>
        <a:stretch>
          <a:fillRect/>
        </a:stretch>
      </xdr:blipFill>
      <xdr:spPr>
        <a:xfrm>
          <a:off x="13519977262" y="21031335"/>
          <a:ext cx="2113369" cy="3347056"/>
        </a:xfrm>
        <a:prstGeom prst="rect">
          <a:avLst/>
        </a:prstGeom>
      </xdr:spPr>
    </xdr:pic>
    <xdr:clientData/>
  </xdr:twoCellAnchor>
  <xdr:twoCellAnchor>
    <xdr:from>
      <xdr:col>3</xdr:col>
      <xdr:colOff>20032</xdr:colOff>
      <xdr:row>105</xdr:row>
      <xdr:rowOff>124196</xdr:rowOff>
    </xdr:from>
    <xdr:to>
      <xdr:col>9</xdr:col>
      <xdr:colOff>592933</xdr:colOff>
      <xdr:row>105</xdr:row>
      <xdr:rowOff>144227</xdr:rowOff>
    </xdr:to>
    <xdr:cxnSp macro="">
      <xdr:nvCxnSpPr>
        <xdr:cNvPr id="14" name="Straight Arrow Connector 13">
          <a:extLst>
            <a:ext uri="{FF2B5EF4-FFF2-40B4-BE49-F238E27FC236}">
              <a16:creationId xmlns:a16="http://schemas.microsoft.com/office/drawing/2014/main" id="{75DBE60A-E6DE-5753-0487-870C30FE1ED3}"/>
            </a:ext>
          </a:extLst>
        </xdr:cNvPr>
        <xdr:cNvCxnSpPr/>
      </xdr:nvCxnSpPr>
      <xdr:spPr>
        <a:xfrm>
          <a:off x="13513689401" y="22106814"/>
          <a:ext cx="5524700" cy="200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452714</xdr:colOff>
      <xdr:row>102</xdr:row>
      <xdr:rowOff>60095</xdr:rowOff>
    </xdr:from>
    <xdr:to>
      <xdr:col>8</xdr:col>
      <xdr:colOff>372588</xdr:colOff>
      <xdr:row>104</xdr:row>
      <xdr:rowOff>12018</xdr:rowOff>
    </xdr:to>
    <xdr:sp macro="" textlink="">
      <xdr:nvSpPr>
        <xdr:cNvPr id="15" name="Left Brace 14">
          <a:extLst>
            <a:ext uri="{FF2B5EF4-FFF2-40B4-BE49-F238E27FC236}">
              <a16:creationId xmlns:a16="http://schemas.microsoft.com/office/drawing/2014/main" id="{1B199841-9356-A8A5-A94B-AE5DF255FAD9}"/>
            </a:ext>
          </a:extLst>
        </xdr:cNvPr>
        <xdr:cNvSpPr/>
      </xdr:nvSpPr>
      <xdr:spPr>
        <a:xfrm rot="5400000">
          <a:off x="13516165299" y="19999495"/>
          <a:ext cx="360567" cy="3221073"/>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344542</xdr:colOff>
      <xdr:row>105</xdr:row>
      <xdr:rowOff>28045</xdr:rowOff>
    </xdr:from>
    <xdr:to>
      <xdr:col>8</xdr:col>
      <xdr:colOff>380600</xdr:colOff>
      <xdr:row>106</xdr:row>
      <xdr:rowOff>140221</xdr:rowOff>
    </xdr:to>
    <xdr:sp macro="" textlink="">
      <xdr:nvSpPr>
        <xdr:cNvPr id="17" name="Left Brace 16">
          <a:extLst>
            <a:ext uri="{FF2B5EF4-FFF2-40B4-BE49-F238E27FC236}">
              <a16:creationId xmlns:a16="http://schemas.microsoft.com/office/drawing/2014/main" id="{F7E41D65-9C7B-5DF2-255D-ABE4849A9921}"/>
            </a:ext>
          </a:extLst>
        </xdr:cNvPr>
        <xdr:cNvSpPr/>
      </xdr:nvSpPr>
      <xdr:spPr>
        <a:xfrm rot="16200000">
          <a:off x="13515412114" y="21325583"/>
          <a:ext cx="316498" cy="1686658"/>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7</xdr:col>
      <xdr:colOff>340536</xdr:colOff>
      <xdr:row>115</xdr:row>
      <xdr:rowOff>8013</xdr:rowOff>
    </xdr:from>
    <xdr:to>
      <xdr:col>7</xdr:col>
      <xdr:colOff>456719</xdr:colOff>
      <xdr:row>116</xdr:row>
      <xdr:rowOff>32050</xdr:rowOff>
    </xdr:to>
    <xdr:sp macro="" textlink="">
      <xdr:nvSpPr>
        <xdr:cNvPr id="21" name="Down Arrow 20">
          <a:extLst>
            <a:ext uri="{FF2B5EF4-FFF2-40B4-BE49-F238E27FC236}">
              <a16:creationId xmlns:a16="http://schemas.microsoft.com/office/drawing/2014/main" id="{CAB794AE-5073-CA20-FFCF-7CEF306FC50B}"/>
            </a:ext>
          </a:extLst>
        </xdr:cNvPr>
        <xdr:cNvSpPr/>
      </xdr:nvSpPr>
      <xdr:spPr>
        <a:xfrm>
          <a:off x="13515476215" y="24033849"/>
          <a:ext cx="116183" cy="22835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376593</xdr:colOff>
      <xdr:row>105</xdr:row>
      <xdr:rowOff>32050</xdr:rowOff>
    </xdr:from>
    <xdr:to>
      <xdr:col>6</xdr:col>
      <xdr:colOff>312494</xdr:colOff>
      <xdr:row>106</xdr:row>
      <xdr:rowOff>148233</xdr:rowOff>
    </xdr:to>
    <xdr:sp macro="" textlink="">
      <xdr:nvSpPr>
        <xdr:cNvPr id="22" name="Left Brace 21">
          <a:extLst>
            <a:ext uri="{FF2B5EF4-FFF2-40B4-BE49-F238E27FC236}">
              <a16:creationId xmlns:a16="http://schemas.microsoft.com/office/drawing/2014/main" id="{4E439DFB-7B7E-EE8B-7F8B-5EDE1E681E79}"/>
            </a:ext>
          </a:extLst>
        </xdr:cNvPr>
        <xdr:cNvSpPr/>
      </xdr:nvSpPr>
      <xdr:spPr>
        <a:xfrm rot="16200000">
          <a:off x="13517078737" y="21381671"/>
          <a:ext cx="320505" cy="1586500"/>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324511</xdr:colOff>
      <xdr:row>114</xdr:row>
      <xdr:rowOff>32051</xdr:rowOff>
    </xdr:from>
    <xdr:to>
      <xdr:col>5</xdr:col>
      <xdr:colOff>440694</xdr:colOff>
      <xdr:row>115</xdr:row>
      <xdr:rowOff>56088</xdr:rowOff>
    </xdr:to>
    <xdr:sp macro="" textlink="">
      <xdr:nvSpPr>
        <xdr:cNvPr id="23" name="Down Arrow 22">
          <a:extLst>
            <a:ext uri="{FF2B5EF4-FFF2-40B4-BE49-F238E27FC236}">
              <a16:creationId xmlns:a16="http://schemas.microsoft.com/office/drawing/2014/main" id="{7B4606B4-C1AE-DC9C-1D33-D5F2D6C278B2}"/>
            </a:ext>
          </a:extLst>
        </xdr:cNvPr>
        <xdr:cNvSpPr/>
      </xdr:nvSpPr>
      <xdr:spPr>
        <a:xfrm>
          <a:off x="13517142839" y="23853565"/>
          <a:ext cx="116183" cy="22835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9</xdr:col>
      <xdr:colOff>687551</xdr:colOff>
      <xdr:row>170</xdr:row>
      <xdr:rowOff>70069</xdr:rowOff>
    </xdr:from>
    <xdr:to>
      <xdr:col>11</xdr:col>
      <xdr:colOff>225972</xdr:colOff>
      <xdr:row>175</xdr:row>
      <xdr:rowOff>90652</xdr:rowOff>
    </xdr:to>
    <xdr:pic>
      <xdr:nvPicPr>
        <xdr:cNvPr id="24" name="Picture 23">
          <a:extLst>
            <a:ext uri="{FF2B5EF4-FFF2-40B4-BE49-F238E27FC236}">
              <a16:creationId xmlns:a16="http://schemas.microsoft.com/office/drawing/2014/main" id="{8C7E5436-0759-58B4-7A6F-D8F3924E3775}"/>
            </a:ext>
          </a:extLst>
        </xdr:cNvPr>
        <xdr:cNvPicPr>
          <a:picLocks noChangeAspect="1"/>
        </xdr:cNvPicPr>
      </xdr:nvPicPr>
      <xdr:blipFill>
        <a:blip xmlns:r="http://schemas.openxmlformats.org/officeDocument/2006/relationships" r:embed="rId5"/>
        <a:stretch>
          <a:fillRect/>
        </a:stretch>
      </xdr:blipFill>
      <xdr:spPr>
        <a:xfrm>
          <a:off x="13551536752" y="33116345"/>
          <a:ext cx="1193800" cy="1054100"/>
        </a:xfrm>
        <a:prstGeom prst="rect">
          <a:avLst/>
        </a:prstGeom>
      </xdr:spPr>
    </xdr:pic>
    <xdr:clientData/>
  </xdr:twoCellAnchor>
  <xdr:twoCellAnchor>
    <xdr:from>
      <xdr:col>7</xdr:col>
      <xdr:colOff>162034</xdr:colOff>
      <xdr:row>166</xdr:row>
      <xdr:rowOff>13139</xdr:rowOff>
    </xdr:from>
    <xdr:to>
      <xdr:col>9</xdr:col>
      <xdr:colOff>569310</xdr:colOff>
      <xdr:row>180</xdr:row>
      <xdr:rowOff>122622</xdr:rowOff>
    </xdr:to>
    <xdr:sp macro="" textlink="">
      <xdr:nvSpPr>
        <xdr:cNvPr id="25" name="Rounded Rectangular Callout 24">
          <a:extLst>
            <a:ext uri="{FF2B5EF4-FFF2-40B4-BE49-F238E27FC236}">
              <a16:creationId xmlns:a16="http://schemas.microsoft.com/office/drawing/2014/main" id="{B13CFCAA-14DA-98FF-4942-CB9E844EE094}"/>
            </a:ext>
          </a:extLst>
        </xdr:cNvPr>
        <xdr:cNvSpPr/>
      </xdr:nvSpPr>
      <xdr:spPr>
        <a:xfrm>
          <a:off x="13552848793" y="34268105"/>
          <a:ext cx="2062655" cy="2956034"/>
        </a:xfrm>
        <a:prstGeom prst="wedgeRoundRectCallout">
          <a:avLst>
            <a:gd name="adj1" fmla="val -59632"/>
            <a:gd name="adj2" fmla="val -905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הון עצמי - מתאר: ״כמה כסף נבע ממקורות שאינם התחייבות בעבר״.</a:t>
          </a:r>
        </a:p>
        <a:p>
          <a:pPr algn="r" rtl="1"/>
          <a:r>
            <a:rPr lang="he-IL" sz="1100"/>
            <a:t>שני גורמים מאד נפוצים</a:t>
          </a:r>
          <a:r>
            <a:rPr lang="he-IL" sz="1100" baseline="0"/>
            <a:t> יוצרים כסף והם לא התחייבות:</a:t>
          </a:r>
        </a:p>
        <a:p>
          <a:pPr algn="r" rtl="1"/>
          <a:r>
            <a:rPr lang="he-IL" sz="1100" baseline="0"/>
            <a:t>א. השקעת הבעלים בחברה: השקעה כזו לא יוצרת התחייבות כלפי החברה, לכן זה הון עצמי של החברה. </a:t>
          </a:r>
        </a:p>
        <a:p>
          <a:pPr algn="r" rtl="1"/>
          <a:r>
            <a:rPr lang="he-IL" sz="1100" baseline="0"/>
            <a:t>ב. רווח מצטבר (יתרת רווח / עודפים):  ״כמה כסף נוצר בחברה כתוצאה מרווחים שהצטברו בעבר״. גם רווח שמצטבר בחברה לא מייצר לה התחייבות, לכן גם זה מקור מימון הוני. </a:t>
          </a:r>
          <a:endParaRPr lang="en-US" sz="1100"/>
        </a:p>
      </xdr:txBody>
    </xdr:sp>
    <xdr:clientData/>
  </xdr:twoCellAnchor>
  <xdr:twoCellAnchor>
    <xdr:from>
      <xdr:col>4</xdr:col>
      <xdr:colOff>823309</xdr:colOff>
      <xdr:row>172</xdr:row>
      <xdr:rowOff>91966</xdr:rowOff>
    </xdr:from>
    <xdr:to>
      <xdr:col>7</xdr:col>
      <xdr:colOff>140136</xdr:colOff>
      <xdr:row>173</xdr:row>
      <xdr:rowOff>144517</xdr:rowOff>
    </xdr:to>
    <xdr:sp macro="" textlink="">
      <xdr:nvSpPr>
        <xdr:cNvPr id="26" name="Left Arrow 25">
          <a:extLst>
            <a:ext uri="{FF2B5EF4-FFF2-40B4-BE49-F238E27FC236}">
              <a16:creationId xmlns:a16="http://schemas.microsoft.com/office/drawing/2014/main" id="{0B81C817-2BB1-7BEF-DA67-B09131DEA2C1}"/>
            </a:ext>
          </a:extLst>
        </xdr:cNvPr>
        <xdr:cNvSpPr/>
      </xdr:nvSpPr>
      <xdr:spPr>
        <a:xfrm>
          <a:off x="13554933346" y="33554276"/>
          <a:ext cx="1799896" cy="254000"/>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wsDr>
</file>

<file path=xl/drawings/drawing10.xml><?xml version="1.0" encoding="utf-8"?>
<xdr:wsDr xmlns:xdr="http://schemas.openxmlformats.org/drawingml/2006/spreadsheetDrawing" xmlns:a="http://schemas.openxmlformats.org/drawingml/2006/main">
  <xdr:oneCellAnchor>
    <xdr:from>
      <xdr:col>2</xdr:col>
      <xdr:colOff>711200</xdr:colOff>
      <xdr:row>238</xdr:row>
      <xdr:rowOff>44450</xdr:rowOff>
    </xdr:from>
    <xdr:ext cx="2203568" cy="321306"/>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68C46435-6E54-184F-B052-A56CFBB70D45}"/>
                </a:ext>
              </a:extLst>
            </xdr:cNvPr>
            <xdr:cNvSpPr txBox="1"/>
          </xdr:nvSpPr>
          <xdr:spPr>
            <a:xfrm>
              <a:off x="13520426232" y="27501850"/>
              <a:ext cx="2203568" cy="3213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𝑆𝑢𝑚</m:t>
                    </m:r>
                    <m:d>
                      <m:dPr>
                        <m:ctrlPr>
                          <a:rPr lang="en-US" sz="1100" b="0" i="1">
                            <a:latin typeface="Cambria Math" panose="02040503050406030204" pitchFamily="18" charset="0"/>
                          </a:rPr>
                        </m:ctrlPr>
                      </m:dPr>
                      <m:e>
                        <m:r>
                          <a:rPr lang="en-US" sz="1100" b="0" i="1">
                            <a:latin typeface="Cambria Math" panose="02040503050406030204" pitchFamily="18" charset="0"/>
                          </a:rPr>
                          <m:t>𝐷𝑖𝑔𝑖𝑡𝑠</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𝑛</m:t>
                        </m:r>
                        <m:r>
                          <a:rPr lang="en-US" sz="1100" b="0" i="1">
                            <a:latin typeface="Cambria Math" panose="02040503050406030204" pitchFamily="18" charset="0"/>
                          </a:rPr>
                          <m:t>∗(</m:t>
                        </m:r>
                        <m:r>
                          <a:rPr lang="en-US" sz="1100" b="0" i="1">
                            <a:latin typeface="Cambria Math" panose="02040503050406030204" pitchFamily="18" charset="0"/>
                          </a:rPr>
                          <m:t>𝑛</m:t>
                        </m:r>
                        <m:r>
                          <a:rPr lang="en-US" sz="1100" b="0" i="1">
                            <a:latin typeface="Cambria Math" panose="02040503050406030204" pitchFamily="18" charset="0"/>
                          </a:rPr>
                          <m:t>+1)</m:t>
                        </m:r>
                      </m:num>
                      <m:den>
                        <m:r>
                          <a:rPr lang="en-US" sz="1100" b="0" i="1">
                            <a:latin typeface="Cambria Math" panose="02040503050406030204" pitchFamily="18" charset="0"/>
                          </a:rPr>
                          <m:t>2</m:t>
                        </m:r>
                      </m:den>
                    </m:f>
                  </m:oMath>
                </m:oMathPara>
              </a14:m>
              <a:endParaRPr lang="en-US" sz="1100"/>
            </a:p>
          </xdr:txBody>
        </xdr:sp>
      </mc:Choice>
      <mc:Fallback xmlns="">
        <xdr:sp macro="" textlink="">
          <xdr:nvSpPr>
            <xdr:cNvPr id="9" name="TextBox 8">
              <a:extLst>
                <a:ext uri="{FF2B5EF4-FFF2-40B4-BE49-F238E27FC236}">
                  <a16:creationId xmlns:a16="http://schemas.microsoft.com/office/drawing/2014/main" id="{68C46435-6E54-184F-B052-A56CFBB70D45}"/>
                </a:ext>
              </a:extLst>
            </xdr:cNvPr>
            <xdr:cNvSpPr txBox="1"/>
          </xdr:nvSpPr>
          <xdr:spPr>
            <a:xfrm>
              <a:off x="13520426232" y="27501850"/>
              <a:ext cx="2203568" cy="3213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𝑆𝑢𝑚(𝐷𝑖𝑔𝑖𝑡𝑠)=(𝑛∗(𝑛+1))/2</a:t>
              </a:r>
              <a:endParaRPr lang="en-US" sz="1100"/>
            </a:p>
          </xdr:txBody>
        </xdr:sp>
      </mc:Fallback>
    </mc:AlternateContent>
    <xdr:clientData/>
  </xdr:oneCellAnchor>
  <xdr:oneCellAnchor>
    <xdr:from>
      <xdr:col>2</xdr:col>
      <xdr:colOff>501650</xdr:colOff>
      <xdr:row>245</xdr:row>
      <xdr:rowOff>12700</xdr:rowOff>
    </xdr:from>
    <xdr:ext cx="2502018" cy="346954"/>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2158F3BA-E50E-7845-81EC-2AC0AD776E92}"/>
                </a:ext>
              </a:extLst>
            </xdr:cNvPr>
            <xdr:cNvSpPr txBox="1"/>
          </xdr:nvSpPr>
          <xdr:spPr>
            <a:xfrm>
              <a:off x="13520337332" y="28892500"/>
              <a:ext cx="2502018" cy="3469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r>
                      <a:rPr lang="en-US" sz="1100" b="0" i="1">
                        <a:latin typeface="Cambria Math" panose="02040503050406030204" pitchFamily="18" charset="0"/>
                      </a:rPr>
                      <m:t>=</m:t>
                    </m:r>
                    <m:d>
                      <m:dPr>
                        <m:ctrlPr>
                          <a:rPr lang="en-US" sz="1100" b="0" i="1">
                            <a:latin typeface="Cambria Math" panose="02040503050406030204" pitchFamily="18" charset="0"/>
                          </a:rPr>
                        </m:ctrlPr>
                      </m:dPr>
                      <m:e>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𝐺</m:t>
                            </m:r>
                          </m:sub>
                        </m:sSub>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𝐷𝑖𝑔𝑖𝑡</m:t>
                        </m:r>
                      </m:num>
                      <m:den>
                        <m:r>
                          <a:rPr lang="en-US" sz="1100" b="0" i="1">
                            <a:latin typeface="Cambria Math" panose="02040503050406030204" pitchFamily="18" charset="0"/>
                          </a:rPr>
                          <m:t>𝑆𝑢𝑚</m:t>
                        </m:r>
                        <m:r>
                          <a:rPr lang="en-US" sz="1100" b="0" i="1">
                            <a:latin typeface="Cambria Math" panose="02040503050406030204" pitchFamily="18" charset="0"/>
                          </a:rPr>
                          <m:t>(</m:t>
                        </m:r>
                        <m:r>
                          <a:rPr lang="en-US" sz="1100" b="0" i="1">
                            <a:latin typeface="Cambria Math" panose="02040503050406030204" pitchFamily="18" charset="0"/>
                          </a:rPr>
                          <m:t>𝐷𝑖𝑔𝑖𝑡𝑠</m:t>
                        </m:r>
                        <m:r>
                          <a:rPr lang="en-US" sz="1100" b="0" i="1">
                            <a:latin typeface="Cambria Math" panose="02040503050406030204" pitchFamily="18" charset="0"/>
                          </a:rPr>
                          <m:t>)</m:t>
                        </m:r>
                      </m:den>
                    </m:f>
                  </m:oMath>
                </m:oMathPara>
              </a14:m>
              <a:endParaRPr lang="en-US" sz="1100"/>
            </a:p>
          </xdr:txBody>
        </xdr:sp>
      </mc:Choice>
      <mc:Fallback xmlns="">
        <xdr:sp macro="" textlink="">
          <xdr:nvSpPr>
            <xdr:cNvPr id="10" name="TextBox 9">
              <a:extLst>
                <a:ext uri="{FF2B5EF4-FFF2-40B4-BE49-F238E27FC236}">
                  <a16:creationId xmlns:a16="http://schemas.microsoft.com/office/drawing/2014/main" id="{2158F3BA-E50E-7845-81EC-2AC0AD776E92}"/>
                </a:ext>
              </a:extLst>
            </xdr:cNvPr>
            <xdr:cNvSpPr txBox="1"/>
          </xdr:nvSpPr>
          <xdr:spPr>
            <a:xfrm>
              <a:off x="13520337332" y="28892500"/>
              <a:ext cx="2502018" cy="3469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𝐷=(𝐼_0−𝐼_𝐺 )∗𝐷𝑖𝑔𝑖𝑡/(𝑆𝑢𝑚(𝐷𝑖𝑔𝑖𝑡𝑠))</a:t>
              </a:r>
              <a:endParaRPr lang="en-US" sz="1100"/>
            </a:p>
          </xdr:txBody>
        </xdr:sp>
      </mc:Fallback>
    </mc:AlternateContent>
    <xdr:clientData/>
  </xdr:oneCellAnchor>
  <xdr:oneCellAnchor>
    <xdr:from>
      <xdr:col>2</xdr:col>
      <xdr:colOff>711200</xdr:colOff>
      <xdr:row>273</xdr:row>
      <xdr:rowOff>44450</xdr:rowOff>
    </xdr:from>
    <xdr:ext cx="2203568" cy="321306"/>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6D12A31C-5308-284F-9B69-134818A57006}"/>
                </a:ext>
              </a:extLst>
            </xdr:cNvPr>
            <xdr:cNvSpPr txBox="1"/>
          </xdr:nvSpPr>
          <xdr:spPr>
            <a:xfrm>
              <a:off x="13520426232" y="27501850"/>
              <a:ext cx="2203568" cy="3213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𝑆𝑢𝑚</m:t>
                    </m:r>
                    <m:d>
                      <m:dPr>
                        <m:ctrlPr>
                          <a:rPr lang="en-US" sz="1100" b="0" i="1">
                            <a:latin typeface="Cambria Math" panose="02040503050406030204" pitchFamily="18" charset="0"/>
                          </a:rPr>
                        </m:ctrlPr>
                      </m:dPr>
                      <m:e>
                        <m:r>
                          <a:rPr lang="en-US" sz="1100" b="0" i="1">
                            <a:latin typeface="Cambria Math" panose="02040503050406030204" pitchFamily="18" charset="0"/>
                          </a:rPr>
                          <m:t>𝐷𝑖𝑔𝑖𝑡𝑠</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𝑛</m:t>
                        </m:r>
                        <m:r>
                          <a:rPr lang="en-US" sz="1100" b="0" i="1">
                            <a:latin typeface="Cambria Math" panose="02040503050406030204" pitchFamily="18" charset="0"/>
                          </a:rPr>
                          <m:t>∗(</m:t>
                        </m:r>
                        <m:r>
                          <a:rPr lang="en-US" sz="1100" b="0" i="1">
                            <a:latin typeface="Cambria Math" panose="02040503050406030204" pitchFamily="18" charset="0"/>
                          </a:rPr>
                          <m:t>𝑛</m:t>
                        </m:r>
                        <m:r>
                          <a:rPr lang="en-US" sz="1100" b="0" i="1">
                            <a:latin typeface="Cambria Math" panose="02040503050406030204" pitchFamily="18" charset="0"/>
                          </a:rPr>
                          <m:t>+1)</m:t>
                        </m:r>
                      </m:num>
                      <m:den>
                        <m:r>
                          <a:rPr lang="en-US" sz="1100" b="0" i="1">
                            <a:latin typeface="Cambria Math" panose="02040503050406030204" pitchFamily="18" charset="0"/>
                          </a:rPr>
                          <m:t>2</m:t>
                        </m:r>
                      </m:den>
                    </m:f>
                  </m:oMath>
                </m:oMathPara>
              </a14:m>
              <a:endParaRPr lang="en-US" sz="1100"/>
            </a:p>
          </xdr:txBody>
        </xdr:sp>
      </mc:Choice>
      <mc:Fallback xmlns="">
        <xdr:sp macro="" textlink="">
          <xdr:nvSpPr>
            <xdr:cNvPr id="11" name="TextBox 10">
              <a:extLst>
                <a:ext uri="{FF2B5EF4-FFF2-40B4-BE49-F238E27FC236}">
                  <a16:creationId xmlns:a16="http://schemas.microsoft.com/office/drawing/2014/main" id="{6D12A31C-5308-284F-9B69-134818A57006}"/>
                </a:ext>
              </a:extLst>
            </xdr:cNvPr>
            <xdr:cNvSpPr txBox="1"/>
          </xdr:nvSpPr>
          <xdr:spPr>
            <a:xfrm>
              <a:off x="13520426232" y="27501850"/>
              <a:ext cx="2203568" cy="3213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𝑆𝑢𝑚(𝐷𝑖𝑔𝑖𝑡𝑠)=(𝑛∗(𝑛+1))/2</a:t>
              </a:r>
              <a:endParaRPr lang="en-US" sz="1100"/>
            </a:p>
          </xdr:txBody>
        </xdr:sp>
      </mc:Fallback>
    </mc:AlternateContent>
    <xdr:clientData/>
  </xdr:oneCellAnchor>
  <xdr:oneCellAnchor>
    <xdr:from>
      <xdr:col>2</xdr:col>
      <xdr:colOff>609600</xdr:colOff>
      <xdr:row>278</xdr:row>
      <xdr:rowOff>152400</xdr:rowOff>
    </xdr:from>
    <xdr:ext cx="2203568" cy="321306"/>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71249D25-6896-DE4E-812E-783592A9F7C2}"/>
                </a:ext>
              </a:extLst>
            </xdr:cNvPr>
            <xdr:cNvSpPr txBox="1"/>
          </xdr:nvSpPr>
          <xdr:spPr>
            <a:xfrm>
              <a:off x="13520527832" y="35788600"/>
              <a:ext cx="2203568" cy="3213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𝑆𝑢𝑚</m:t>
                    </m:r>
                    <m:d>
                      <m:dPr>
                        <m:ctrlPr>
                          <a:rPr lang="en-US" sz="1100" b="0" i="1">
                            <a:latin typeface="Cambria Math" panose="02040503050406030204" pitchFamily="18" charset="0"/>
                          </a:rPr>
                        </m:ctrlPr>
                      </m:dPr>
                      <m:e>
                        <m:r>
                          <a:rPr lang="en-US" sz="1100" b="0" i="1">
                            <a:latin typeface="Cambria Math" panose="02040503050406030204" pitchFamily="18" charset="0"/>
                          </a:rPr>
                          <m:t>𝐷𝑖𝑔𝑖𝑡𝑠</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8</m:t>
                        </m:r>
                        <m:r>
                          <a:rPr lang="en-US" sz="1100" b="0" i="1">
                            <a:latin typeface="Cambria Math" panose="02040503050406030204" pitchFamily="18" charset="0"/>
                          </a:rPr>
                          <m:t>∗(</m:t>
                        </m:r>
                        <m:r>
                          <a:rPr lang="he-IL" sz="1100" b="0" i="1">
                            <a:latin typeface="Cambria Math" panose="02040503050406030204" pitchFamily="18" charset="0"/>
                          </a:rPr>
                          <m:t>8</m:t>
                        </m:r>
                        <m:r>
                          <a:rPr lang="en-US" sz="1100" b="0" i="1">
                            <a:latin typeface="Cambria Math" panose="02040503050406030204" pitchFamily="18" charset="0"/>
                          </a:rPr>
                          <m:t>+1)</m:t>
                        </m:r>
                      </m:num>
                      <m:den>
                        <m:r>
                          <a:rPr lang="en-US" sz="1100" b="0" i="1">
                            <a:latin typeface="Cambria Math" panose="02040503050406030204" pitchFamily="18" charset="0"/>
                          </a:rPr>
                          <m:t>2</m:t>
                        </m:r>
                      </m:den>
                    </m:f>
                    <m:r>
                      <a:rPr lang="he-IL" sz="1100" b="0" i="1">
                        <a:latin typeface="Cambria Math" panose="02040503050406030204" pitchFamily="18" charset="0"/>
                      </a:rPr>
                      <m:t>=36</m:t>
                    </m:r>
                  </m:oMath>
                </m:oMathPara>
              </a14:m>
              <a:endParaRPr lang="en-US" sz="1100"/>
            </a:p>
          </xdr:txBody>
        </xdr:sp>
      </mc:Choice>
      <mc:Fallback xmlns="">
        <xdr:sp macro="" textlink="">
          <xdr:nvSpPr>
            <xdr:cNvPr id="12" name="TextBox 11">
              <a:extLst>
                <a:ext uri="{FF2B5EF4-FFF2-40B4-BE49-F238E27FC236}">
                  <a16:creationId xmlns:a16="http://schemas.microsoft.com/office/drawing/2014/main" id="{71249D25-6896-DE4E-812E-783592A9F7C2}"/>
                </a:ext>
              </a:extLst>
            </xdr:cNvPr>
            <xdr:cNvSpPr txBox="1"/>
          </xdr:nvSpPr>
          <xdr:spPr>
            <a:xfrm>
              <a:off x="13520527832" y="35788600"/>
              <a:ext cx="2203568" cy="3213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𝑆𝑢𝑚(𝐷𝑖𝑔𝑖𝑡𝑠)=(</a:t>
              </a:r>
              <a:r>
                <a:rPr lang="he-IL" sz="1100" b="0" i="0">
                  <a:latin typeface="Cambria Math" panose="02040503050406030204" pitchFamily="18" charset="0"/>
                </a:rPr>
                <a:t>8</a:t>
              </a:r>
              <a:r>
                <a:rPr lang="en-US" sz="1100" b="0" i="0">
                  <a:latin typeface="Cambria Math" panose="02040503050406030204" pitchFamily="18" charset="0"/>
                </a:rPr>
                <a:t>∗(</a:t>
              </a:r>
              <a:r>
                <a:rPr lang="he-IL" sz="1100" b="0" i="0">
                  <a:latin typeface="Cambria Math" panose="02040503050406030204" pitchFamily="18" charset="0"/>
                </a:rPr>
                <a:t>8</a:t>
              </a:r>
              <a:r>
                <a:rPr lang="en-US" sz="1100" b="0" i="0">
                  <a:latin typeface="Cambria Math" panose="02040503050406030204" pitchFamily="18" charset="0"/>
                </a:rPr>
                <a:t>+1))/2</a:t>
              </a:r>
              <a:r>
                <a:rPr lang="he-IL" sz="1100" b="0" i="0">
                  <a:latin typeface="Cambria Math" panose="02040503050406030204" pitchFamily="18" charset="0"/>
                </a:rPr>
                <a:t>=36</a:t>
              </a:r>
              <a:endParaRPr lang="en-US" sz="1100"/>
            </a:p>
          </xdr:txBody>
        </xdr:sp>
      </mc:Fallback>
    </mc:AlternateContent>
    <xdr:clientData/>
  </xdr:oneCellAnchor>
  <xdr:twoCellAnchor>
    <xdr:from>
      <xdr:col>0</xdr:col>
      <xdr:colOff>215900</xdr:colOff>
      <xdr:row>290</xdr:row>
      <xdr:rowOff>95250</xdr:rowOff>
    </xdr:from>
    <xdr:to>
      <xdr:col>7</xdr:col>
      <xdr:colOff>336550</xdr:colOff>
      <xdr:row>290</xdr:row>
      <xdr:rowOff>133350</xdr:rowOff>
    </xdr:to>
    <xdr:cxnSp macro="">
      <xdr:nvCxnSpPr>
        <xdr:cNvPr id="14" name="Straight Arrow Connector 13">
          <a:extLst>
            <a:ext uri="{FF2B5EF4-FFF2-40B4-BE49-F238E27FC236}">
              <a16:creationId xmlns:a16="http://schemas.microsoft.com/office/drawing/2014/main" id="{93252E1F-D56D-714A-96E4-72D9EECDBDEA}"/>
            </a:ext>
          </a:extLst>
        </xdr:cNvPr>
        <xdr:cNvCxnSpPr/>
      </xdr:nvCxnSpPr>
      <xdr:spPr>
        <a:xfrm flipV="1">
          <a:off x="13518876950" y="37966650"/>
          <a:ext cx="5899150" cy="381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298451</xdr:colOff>
      <xdr:row>290</xdr:row>
      <xdr:rowOff>73025</xdr:rowOff>
    </xdr:from>
    <xdr:to>
      <xdr:col>6</xdr:col>
      <xdr:colOff>511176</xdr:colOff>
      <xdr:row>291</xdr:row>
      <xdr:rowOff>101600</xdr:rowOff>
    </xdr:to>
    <xdr:sp macro="" textlink="">
      <xdr:nvSpPr>
        <xdr:cNvPr id="16" name="Left Brace 15">
          <a:extLst>
            <a:ext uri="{FF2B5EF4-FFF2-40B4-BE49-F238E27FC236}">
              <a16:creationId xmlns:a16="http://schemas.microsoft.com/office/drawing/2014/main" id="{F327FEAD-27D4-6A46-A868-C51AD29DBC97}"/>
            </a:ext>
          </a:extLst>
        </xdr:cNvPr>
        <xdr:cNvSpPr/>
      </xdr:nvSpPr>
      <xdr:spPr>
        <a:xfrm rot="16200000">
          <a:off x="13519931049" y="37541200"/>
          <a:ext cx="231775" cy="1038225"/>
        </a:xfrm>
        <a:prstGeom prst="leftBrace">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209548</xdr:colOff>
      <xdr:row>290</xdr:row>
      <xdr:rowOff>73024</xdr:rowOff>
    </xdr:from>
    <xdr:to>
      <xdr:col>5</xdr:col>
      <xdr:colOff>276225</xdr:colOff>
      <xdr:row>291</xdr:row>
      <xdr:rowOff>38099</xdr:rowOff>
    </xdr:to>
    <xdr:sp macro="" textlink="">
      <xdr:nvSpPr>
        <xdr:cNvPr id="17" name="Left Brace 16">
          <a:extLst>
            <a:ext uri="{FF2B5EF4-FFF2-40B4-BE49-F238E27FC236}">
              <a16:creationId xmlns:a16="http://schemas.microsoft.com/office/drawing/2014/main" id="{1BC6E68A-0DB9-874F-903F-612B46F64FEA}"/>
            </a:ext>
          </a:extLst>
        </xdr:cNvPr>
        <xdr:cNvSpPr/>
      </xdr:nvSpPr>
      <xdr:spPr>
        <a:xfrm rot="16200000">
          <a:off x="13520950226" y="37582473"/>
          <a:ext cx="168275" cy="892177"/>
        </a:xfrm>
        <a:prstGeom prst="leftBrace">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311150</xdr:colOff>
      <xdr:row>290</xdr:row>
      <xdr:rowOff>73024</xdr:rowOff>
    </xdr:from>
    <xdr:to>
      <xdr:col>4</xdr:col>
      <xdr:colOff>168275</xdr:colOff>
      <xdr:row>291</xdr:row>
      <xdr:rowOff>25400</xdr:rowOff>
    </xdr:to>
    <xdr:sp macro="" textlink="">
      <xdr:nvSpPr>
        <xdr:cNvPr id="18" name="Left Brace 17">
          <a:extLst>
            <a:ext uri="{FF2B5EF4-FFF2-40B4-BE49-F238E27FC236}">
              <a16:creationId xmlns:a16="http://schemas.microsoft.com/office/drawing/2014/main" id="{DC8491BD-9688-874F-A547-4BD21F8900CF}"/>
            </a:ext>
          </a:extLst>
        </xdr:cNvPr>
        <xdr:cNvSpPr/>
      </xdr:nvSpPr>
      <xdr:spPr>
        <a:xfrm rot="16200000">
          <a:off x="13521785250" y="37680899"/>
          <a:ext cx="155576" cy="682625"/>
        </a:xfrm>
        <a:prstGeom prst="leftBrace">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196847</xdr:colOff>
      <xdr:row>290</xdr:row>
      <xdr:rowOff>92074</xdr:rowOff>
    </xdr:from>
    <xdr:to>
      <xdr:col>3</xdr:col>
      <xdr:colOff>263523</xdr:colOff>
      <xdr:row>291</xdr:row>
      <xdr:rowOff>6350</xdr:rowOff>
    </xdr:to>
    <xdr:sp macro="" textlink="">
      <xdr:nvSpPr>
        <xdr:cNvPr id="19" name="Left Brace 18">
          <a:extLst>
            <a:ext uri="{FF2B5EF4-FFF2-40B4-BE49-F238E27FC236}">
              <a16:creationId xmlns:a16="http://schemas.microsoft.com/office/drawing/2014/main" id="{CB46A0F0-9828-1344-92AE-E693E459FB51}"/>
            </a:ext>
          </a:extLst>
        </xdr:cNvPr>
        <xdr:cNvSpPr/>
      </xdr:nvSpPr>
      <xdr:spPr>
        <a:xfrm rot="16200000">
          <a:off x="13523052077" y="37163374"/>
          <a:ext cx="117476" cy="1717676"/>
        </a:xfrm>
        <a:prstGeom prst="leftBrace">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3</xdr:col>
      <xdr:colOff>0</xdr:colOff>
      <xdr:row>298</xdr:row>
      <xdr:rowOff>0</xdr:rowOff>
    </xdr:from>
    <xdr:ext cx="2502018" cy="346954"/>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C916215E-9A6A-FB4A-B607-6FB87B3DC2F2}"/>
                </a:ext>
              </a:extLst>
            </xdr:cNvPr>
            <xdr:cNvSpPr txBox="1"/>
          </xdr:nvSpPr>
          <xdr:spPr>
            <a:xfrm>
              <a:off x="13520013482" y="39293800"/>
              <a:ext cx="2502018" cy="3469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r>
                      <a:rPr lang="en-US" sz="1100" b="0" i="1">
                        <a:latin typeface="Cambria Math" panose="02040503050406030204" pitchFamily="18" charset="0"/>
                      </a:rPr>
                      <m:t>=</m:t>
                    </m:r>
                    <m:d>
                      <m:dPr>
                        <m:ctrlPr>
                          <a:rPr lang="en-US" sz="1100" b="0" i="1">
                            <a:latin typeface="Cambria Math" panose="02040503050406030204" pitchFamily="18" charset="0"/>
                          </a:rPr>
                        </m:ctrlPr>
                      </m:dPr>
                      <m:e>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𝐺</m:t>
                            </m:r>
                          </m:sub>
                        </m:sSub>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𝐷𝑖𝑔𝑖𝑡</m:t>
                        </m:r>
                      </m:num>
                      <m:den>
                        <m:r>
                          <a:rPr lang="en-US" sz="1100" b="0" i="1">
                            <a:latin typeface="Cambria Math" panose="02040503050406030204" pitchFamily="18" charset="0"/>
                          </a:rPr>
                          <m:t>𝑆𝑢𝑚</m:t>
                        </m:r>
                        <m:r>
                          <a:rPr lang="en-US" sz="1100" b="0" i="1">
                            <a:latin typeface="Cambria Math" panose="02040503050406030204" pitchFamily="18" charset="0"/>
                          </a:rPr>
                          <m:t>(</m:t>
                        </m:r>
                        <m:r>
                          <a:rPr lang="en-US" sz="1100" b="0" i="1">
                            <a:latin typeface="Cambria Math" panose="02040503050406030204" pitchFamily="18" charset="0"/>
                          </a:rPr>
                          <m:t>𝐷𝑖𝑔𝑖𝑡𝑠</m:t>
                        </m:r>
                        <m:r>
                          <a:rPr lang="en-US" sz="1100" b="0" i="1">
                            <a:latin typeface="Cambria Math" panose="02040503050406030204" pitchFamily="18" charset="0"/>
                          </a:rPr>
                          <m:t>)</m:t>
                        </m:r>
                      </m:den>
                    </m:f>
                  </m:oMath>
                </m:oMathPara>
              </a14:m>
              <a:endParaRPr lang="en-US" sz="1100"/>
            </a:p>
          </xdr:txBody>
        </xdr:sp>
      </mc:Choice>
      <mc:Fallback xmlns="">
        <xdr:sp macro="" textlink="">
          <xdr:nvSpPr>
            <xdr:cNvPr id="20" name="TextBox 19">
              <a:extLst>
                <a:ext uri="{FF2B5EF4-FFF2-40B4-BE49-F238E27FC236}">
                  <a16:creationId xmlns:a16="http://schemas.microsoft.com/office/drawing/2014/main" id="{C916215E-9A6A-FB4A-B607-6FB87B3DC2F2}"/>
                </a:ext>
              </a:extLst>
            </xdr:cNvPr>
            <xdr:cNvSpPr txBox="1"/>
          </xdr:nvSpPr>
          <xdr:spPr>
            <a:xfrm>
              <a:off x="13520013482" y="39293800"/>
              <a:ext cx="2502018" cy="3469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𝐷=(𝐼_0−𝐼_𝐺 )∗𝐷𝑖𝑔𝑖𝑡/(𝑆𝑢𝑚(𝐷𝑖𝑔𝑖𝑡𝑠))</a:t>
              </a:r>
              <a:endParaRPr lang="en-US" sz="1100"/>
            </a:p>
          </xdr:txBody>
        </xdr:sp>
      </mc:Fallback>
    </mc:AlternateContent>
    <xdr:clientData/>
  </xdr:oneCellAnchor>
  <xdr:oneCellAnchor>
    <xdr:from>
      <xdr:col>1</xdr:col>
      <xdr:colOff>641350</xdr:colOff>
      <xdr:row>304</xdr:row>
      <xdr:rowOff>19050</xdr:rowOff>
    </xdr:from>
    <xdr:ext cx="3835518" cy="318036"/>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CA4F9E81-9676-BE4C-BF32-E7E682157534}"/>
                </a:ext>
              </a:extLst>
            </xdr:cNvPr>
            <xdr:cNvSpPr txBox="1"/>
          </xdr:nvSpPr>
          <xdr:spPr>
            <a:xfrm>
              <a:off x="13519689632" y="40532050"/>
              <a:ext cx="383551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d>
                      <m:dPr>
                        <m:ctrlPr>
                          <a:rPr lang="he-IL" sz="1100" b="0" i="1">
                            <a:latin typeface="Cambria Math" panose="02040503050406030204" pitchFamily="18" charset="0"/>
                          </a:rPr>
                        </m:ctrlPr>
                      </m:dPr>
                      <m:e>
                        <m:r>
                          <a:rPr lang="he-IL" sz="1100" b="0" i="1">
                            <a:latin typeface="Cambria Math" panose="02040503050406030204" pitchFamily="18" charset="0"/>
                          </a:rPr>
                          <m:t>2017</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he-IL" sz="1100" b="0" i="1">
                            <a:latin typeface="Cambria Math" panose="02040503050406030204" pitchFamily="18" charset="0"/>
                          </a:rPr>
                          <m:t>5,000</m:t>
                        </m:r>
                        <m:r>
                          <a:rPr lang="en-US" sz="1100" b="0" i="1">
                            <a:latin typeface="Cambria Math" panose="02040503050406030204" pitchFamily="18" charset="0"/>
                          </a:rPr>
                          <m:t>−</m:t>
                        </m:r>
                        <m:r>
                          <a:rPr lang="he-IL" sz="1100" b="0" i="1">
                            <a:latin typeface="Cambria Math" panose="02040503050406030204" pitchFamily="18" charset="0"/>
                          </a:rPr>
                          <m:t>1,000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8</m:t>
                        </m:r>
                      </m:num>
                      <m:den>
                        <m:r>
                          <a:rPr lang="he-IL" sz="1100" b="0" i="1">
                            <a:latin typeface="Cambria Math" panose="02040503050406030204" pitchFamily="18" charset="0"/>
                          </a:rPr>
                          <m:t>36</m:t>
                        </m:r>
                      </m:den>
                    </m:f>
                    <m:r>
                      <a:rPr lang="en-US" sz="1100" b="0" i="1">
                        <a:latin typeface="Cambria Math" panose="02040503050406030204" pitchFamily="18" charset="0"/>
                      </a:rPr>
                      <m:t>≈889</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CA4F9E81-9676-BE4C-BF32-E7E682157534}"/>
                </a:ext>
              </a:extLst>
            </xdr:cNvPr>
            <xdr:cNvSpPr txBox="1"/>
          </xdr:nvSpPr>
          <xdr:spPr>
            <a:xfrm>
              <a:off x="13519689632" y="40532050"/>
              <a:ext cx="383551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(2017)</a:t>
              </a:r>
              <a:r>
                <a:rPr lang="en-US" sz="1100" b="0" i="0">
                  <a:latin typeface="Cambria Math" panose="02040503050406030204" pitchFamily="18" charset="0"/>
                </a:rPr>
                <a:t>=(</a:t>
              </a:r>
              <a:r>
                <a:rPr lang="he-IL" sz="1100" b="0" i="0">
                  <a:latin typeface="Cambria Math" panose="02040503050406030204" pitchFamily="18" charset="0"/>
                </a:rPr>
                <a:t>5,000</a:t>
              </a:r>
              <a:r>
                <a:rPr lang="en-US" sz="1100" b="0" i="0">
                  <a:latin typeface="Cambria Math" panose="02040503050406030204" pitchFamily="18" charset="0"/>
                </a:rPr>
                <a:t>−</a:t>
              </a:r>
              <a:r>
                <a:rPr lang="he-IL" sz="1100" b="0" i="0">
                  <a:latin typeface="Cambria Math" panose="02040503050406030204" pitchFamily="18" charset="0"/>
                </a:rPr>
                <a:t>1,000</a:t>
              </a:r>
              <a:r>
                <a:rPr lang="en-US" sz="1100" b="0" i="0">
                  <a:latin typeface="Cambria Math" panose="02040503050406030204" pitchFamily="18" charset="0"/>
                </a:rPr>
                <a:t>)∗</a:t>
              </a:r>
              <a:r>
                <a:rPr lang="he-IL" sz="1100" b="0" i="0">
                  <a:latin typeface="Cambria Math" panose="02040503050406030204" pitchFamily="18" charset="0"/>
                </a:rPr>
                <a:t>8</a:t>
              </a:r>
              <a:r>
                <a:rPr lang="en-US" sz="1100" b="0" i="0">
                  <a:latin typeface="Cambria Math" panose="02040503050406030204" pitchFamily="18" charset="0"/>
                </a:rPr>
                <a:t>/</a:t>
              </a:r>
              <a:r>
                <a:rPr lang="he-IL" sz="1100" b="0" i="0">
                  <a:latin typeface="Cambria Math" panose="02040503050406030204" pitchFamily="18" charset="0"/>
                </a:rPr>
                <a:t>36</a:t>
              </a:r>
              <a:r>
                <a:rPr lang="en-US" sz="1100" b="0" i="0">
                  <a:latin typeface="Cambria Math" panose="02040503050406030204" pitchFamily="18" charset="0"/>
                </a:rPr>
                <a:t>≈889</a:t>
              </a:r>
              <a:endParaRPr lang="en-US" sz="1100"/>
            </a:p>
          </xdr:txBody>
        </xdr:sp>
      </mc:Fallback>
    </mc:AlternateContent>
    <xdr:clientData/>
  </xdr:oneCellAnchor>
  <xdr:twoCellAnchor>
    <xdr:from>
      <xdr:col>4</xdr:col>
      <xdr:colOff>171450</xdr:colOff>
      <xdr:row>302</xdr:row>
      <xdr:rowOff>184150</xdr:rowOff>
    </xdr:from>
    <xdr:to>
      <xdr:col>4</xdr:col>
      <xdr:colOff>171450</xdr:colOff>
      <xdr:row>304</xdr:row>
      <xdr:rowOff>114300</xdr:rowOff>
    </xdr:to>
    <xdr:cxnSp macro="">
      <xdr:nvCxnSpPr>
        <xdr:cNvPr id="23" name="Straight Arrow Connector 22">
          <a:extLst>
            <a:ext uri="{FF2B5EF4-FFF2-40B4-BE49-F238E27FC236}">
              <a16:creationId xmlns:a16="http://schemas.microsoft.com/office/drawing/2014/main" id="{A13752C0-87B7-AC4D-A6E7-DEDD3E8BB24C}"/>
            </a:ext>
          </a:extLst>
        </xdr:cNvPr>
        <xdr:cNvCxnSpPr/>
      </xdr:nvCxnSpPr>
      <xdr:spPr>
        <a:xfrm flipV="1">
          <a:off x="13521518550" y="40290750"/>
          <a:ext cx="0" cy="3365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571500</xdr:colOff>
      <xdr:row>305</xdr:row>
      <xdr:rowOff>114300</xdr:rowOff>
    </xdr:from>
    <xdr:to>
      <xdr:col>3</xdr:col>
      <xdr:colOff>577850</xdr:colOff>
      <xdr:row>307</xdr:row>
      <xdr:rowOff>0</xdr:rowOff>
    </xdr:to>
    <xdr:cxnSp macro="">
      <xdr:nvCxnSpPr>
        <xdr:cNvPr id="24" name="Straight Arrow Connector 23">
          <a:extLst>
            <a:ext uri="{FF2B5EF4-FFF2-40B4-BE49-F238E27FC236}">
              <a16:creationId xmlns:a16="http://schemas.microsoft.com/office/drawing/2014/main" id="{1C343A35-C7FD-1145-851B-32A118BCDA18}"/>
            </a:ext>
          </a:extLst>
        </xdr:cNvPr>
        <xdr:cNvCxnSpPr/>
      </xdr:nvCxnSpPr>
      <xdr:spPr>
        <a:xfrm>
          <a:off x="13521937650" y="40830500"/>
          <a:ext cx="6350" cy="292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685800</xdr:colOff>
      <xdr:row>302</xdr:row>
      <xdr:rowOff>177800</xdr:rowOff>
    </xdr:from>
    <xdr:to>
      <xdr:col>3</xdr:col>
      <xdr:colOff>69850</xdr:colOff>
      <xdr:row>304</xdr:row>
      <xdr:rowOff>0</xdr:rowOff>
    </xdr:to>
    <xdr:cxnSp macro="">
      <xdr:nvCxnSpPr>
        <xdr:cNvPr id="26" name="Straight Arrow Connector 25">
          <a:extLst>
            <a:ext uri="{FF2B5EF4-FFF2-40B4-BE49-F238E27FC236}">
              <a16:creationId xmlns:a16="http://schemas.microsoft.com/office/drawing/2014/main" id="{7455559B-61CA-9440-85E7-4845B3FB75F6}"/>
            </a:ext>
          </a:extLst>
        </xdr:cNvPr>
        <xdr:cNvCxnSpPr/>
      </xdr:nvCxnSpPr>
      <xdr:spPr>
        <a:xfrm flipV="1">
          <a:off x="13522445650" y="40284400"/>
          <a:ext cx="209550" cy="2286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590550</xdr:colOff>
      <xdr:row>305</xdr:row>
      <xdr:rowOff>114300</xdr:rowOff>
    </xdr:from>
    <xdr:to>
      <xdr:col>3</xdr:col>
      <xdr:colOff>69850</xdr:colOff>
      <xdr:row>306</xdr:row>
      <xdr:rowOff>133350</xdr:rowOff>
    </xdr:to>
    <xdr:cxnSp macro="">
      <xdr:nvCxnSpPr>
        <xdr:cNvPr id="29" name="Straight Arrow Connector 28">
          <a:extLst>
            <a:ext uri="{FF2B5EF4-FFF2-40B4-BE49-F238E27FC236}">
              <a16:creationId xmlns:a16="http://schemas.microsoft.com/office/drawing/2014/main" id="{89420019-E70D-C04D-AED8-DBCFD5ABD689}"/>
            </a:ext>
          </a:extLst>
        </xdr:cNvPr>
        <xdr:cNvCxnSpPr/>
      </xdr:nvCxnSpPr>
      <xdr:spPr>
        <a:xfrm>
          <a:off x="13522445650" y="40830500"/>
          <a:ext cx="304800" cy="2222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577850</xdr:colOff>
      <xdr:row>316</xdr:row>
      <xdr:rowOff>38100</xdr:rowOff>
    </xdr:from>
    <xdr:ext cx="3835518" cy="318036"/>
    <mc:AlternateContent xmlns:mc="http://schemas.openxmlformats.org/markup-compatibility/2006" xmlns:a14="http://schemas.microsoft.com/office/drawing/2010/main">
      <mc:Choice Requires="a14">
        <xdr:sp macro="" textlink="">
          <xdr:nvSpPr>
            <xdr:cNvPr id="32" name="TextBox 31">
              <a:extLst>
                <a:ext uri="{FF2B5EF4-FFF2-40B4-BE49-F238E27FC236}">
                  <a16:creationId xmlns:a16="http://schemas.microsoft.com/office/drawing/2014/main" id="{2E8C4D52-2C38-AC44-A963-113F55D043BF}"/>
                </a:ext>
              </a:extLst>
            </xdr:cNvPr>
            <xdr:cNvSpPr txBox="1"/>
          </xdr:nvSpPr>
          <xdr:spPr>
            <a:xfrm>
              <a:off x="13519753132" y="42989500"/>
              <a:ext cx="383551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d>
                      <m:dPr>
                        <m:ctrlPr>
                          <a:rPr lang="he-IL" sz="1100" b="0" i="1">
                            <a:latin typeface="Cambria Math" panose="02040503050406030204" pitchFamily="18" charset="0"/>
                          </a:rPr>
                        </m:ctrlPr>
                      </m:dPr>
                      <m:e>
                        <m:r>
                          <a:rPr lang="he-IL" sz="1100" b="0" i="1">
                            <a:latin typeface="Cambria Math" panose="02040503050406030204" pitchFamily="18" charset="0"/>
                          </a:rPr>
                          <m:t>2018</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he-IL" sz="1100" b="0" i="1">
                            <a:latin typeface="Cambria Math" panose="02040503050406030204" pitchFamily="18" charset="0"/>
                          </a:rPr>
                          <m:t>5,000</m:t>
                        </m:r>
                        <m:r>
                          <a:rPr lang="en-US" sz="1100" b="0" i="1">
                            <a:latin typeface="Cambria Math" panose="02040503050406030204" pitchFamily="18" charset="0"/>
                          </a:rPr>
                          <m:t>−</m:t>
                        </m:r>
                        <m:r>
                          <a:rPr lang="he-IL" sz="1100" b="0" i="1">
                            <a:latin typeface="Cambria Math" panose="02040503050406030204" pitchFamily="18" charset="0"/>
                          </a:rPr>
                          <m:t>1,000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7</m:t>
                        </m:r>
                      </m:num>
                      <m:den>
                        <m:r>
                          <a:rPr lang="he-IL" sz="1100" b="0" i="1">
                            <a:latin typeface="Cambria Math" panose="02040503050406030204" pitchFamily="18" charset="0"/>
                          </a:rPr>
                          <m:t>36</m:t>
                        </m:r>
                      </m:den>
                    </m:f>
                    <m:r>
                      <a:rPr lang="en-US" sz="1100" b="0" i="1">
                        <a:latin typeface="Cambria Math" panose="02040503050406030204" pitchFamily="18" charset="0"/>
                      </a:rPr>
                      <m:t>≈</m:t>
                    </m:r>
                    <m:r>
                      <a:rPr lang="he-IL" sz="1100" b="0" i="1">
                        <a:latin typeface="Cambria Math" panose="02040503050406030204" pitchFamily="18" charset="0"/>
                      </a:rPr>
                      <m:t>778</m:t>
                    </m:r>
                  </m:oMath>
                </m:oMathPara>
              </a14:m>
              <a:endParaRPr lang="en-US" sz="1100"/>
            </a:p>
          </xdr:txBody>
        </xdr:sp>
      </mc:Choice>
      <mc:Fallback xmlns="">
        <xdr:sp macro="" textlink="">
          <xdr:nvSpPr>
            <xdr:cNvPr id="32" name="TextBox 31">
              <a:extLst>
                <a:ext uri="{FF2B5EF4-FFF2-40B4-BE49-F238E27FC236}">
                  <a16:creationId xmlns:a16="http://schemas.microsoft.com/office/drawing/2014/main" id="{2E8C4D52-2C38-AC44-A963-113F55D043BF}"/>
                </a:ext>
              </a:extLst>
            </xdr:cNvPr>
            <xdr:cNvSpPr txBox="1"/>
          </xdr:nvSpPr>
          <xdr:spPr>
            <a:xfrm>
              <a:off x="13519753132" y="42989500"/>
              <a:ext cx="383551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(2018)</a:t>
              </a:r>
              <a:r>
                <a:rPr lang="en-US" sz="1100" b="0" i="0">
                  <a:latin typeface="Cambria Math" panose="02040503050406030204" pitchFamily="18" charset="0"/>
                </a:rPr>
                <a:t>=(</a:t>
              </a:r>
              <a:r>
                <a:rPr lang="he-IL" sz="1100" b="0" i="0">
                  <a:latin typeface="Cambria Math" panose="02040503050406030204" pitchFamily="18" charset="0"/>
                </a:rPr>
                <a:t>5,000</a:t>
              </a:r>
              <a:r>
                <a:rPr lang="en-US" sz="1100" b="0" i="0">
                  <a:latin typeface="Cambria Math" panose="02040503050406030204" pitchFamily="18" charset="0"/>
                </a:rPr>
                <a:t>−</a:t>
              </a:r>
              <a:r>
                <a:rPr lang="he-IL" sz="1100" b="0" i="0">
                  <a:latin typeface="Cambria Math" panose="02040503050406030204" pitchFamily="18" charset="0"/>
                </a:rPr>
                <a:t>1,000</a:t>
              </a:r>
              <a:r>
                <a:rPr lang="en-US" sz="1100" b="0" i="0">
                  <a:latin typeface="Cambria Math" panose="02040503050406030204" pitchFamily="18" charset="0"/>
                </a:rPr>
                <a:t>)∗</a:t>
              </a:r>
              <a:r>
                <a:rPr lang="he-IL" sz="1100" b="0" i="0">
                  <a:latin typeface="Cambria Math" panose="02040503050406030204" pitchFamily="18" charset="0"/>
                </a:rPr>
                <a:t>7</a:t>
              </a:r>
              <a:r>
                <a:rPr lang="en-US" sz="1100" b="0" i="0">
                  <a:latin typeface="Cambria Math" panose="02040503050406030204" pitchFamily="18" charset="0"/>
                </a:rPr>
                <a:t>/</a:t>
              </a:r>
              <a:r>
                <a:rPr lang="he-IL" sz="1100" b="0" i="0">
                  <a:latin typeface="Cambria Math" panose="02040503050406030204" pitchFamily="18" charset="0"/>
                </a:rPr>
                <a:t>36</a:t>
              </a:r>
              <a:r>
                <a:rPr lang="en-US" sz="1100" b="0" i="0">
                  <a:latin typeface="Cambria Math" panose="02040503050406030204" pitchFamily="18" charset="0"/>
                </a:rPr>
                <a:t>≈</a:t>
              </a:r>
              <a:r>
                <a:rPr lang="he-IL" sz="1100" b="0" i="0">
                  <a:latin typeface="Cambria Math" panose="02040503050406030204" pitchFamily="18" charset="0"/>
                </a:rPr>
                <a:t>778</a:t>
              </a:r>
              <a:endParaRPr lang="en-US" sz="1100"/>
            </a:p>
          </xdr:txBody>
        </xdr:sp>
      </mc:Fallback>
    </mc:AlternateContent>
    <xdr:clientData/>
  </xdr:oneCellAnchor>
  <xdr:twoCellAnchor>
    <xdr:from>
      <xdr:col>2</xdr:col>
      <xdr:colOff>768350</xdr:colOff>
      <xdr:row>314</xdr:row>
      <xdr:rowOff>190500</xdr:rowOff>
    </xdr:from>
    <xdr:to>
      <xdr:col>3</xdr:col>
      <xdr:colOff>152400</xdr:colOff>
      <xdr:row>316</xdr:row>
      <xdr:rowOff>12700</xdr:rowOff>
    </xdr:to>
    <xdr:cxnSp macro="">
      <xdr:nvCxnSpPr>
        <xdr:cNvPr id="33" name="Straight Arrow Connector 32">
          <a:extLst>
            <a:ext uri="{FF2B5EF4-FFF2-40B4-BE49-F238E27FC236}">
              <a16:creationId xmlns:a16="http://schemas.microsoft.com/office/drawing/2014/main" id="{9901213D-522E-A345-B4B1-B464F86D5387}"/>
            </a:ext>
          </a:extLst>
        </xdr:cNvPr>
        <xdr:cNvCxnSpPr/>
      </xdr:nvCxnSpPr>
      <xdr:spPr>
        <a:xfrm flipV="1">
          <a:off x="13522363100" y="42735500"/>
          <a:ext cx="209550" cy="2286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565150</xdr:colOff>
      <xdr:row>318</xdr:row>
      <xdr:rowOff>152400</xdr:rowOff>
    </xdr:from>
    <xdr:ext cx="3835518" cy="318036"/>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C72DE814-9C0C-9040-99C7-3F32E9E23EA7}"/>
                </a:ext>
              </a:extLst>
            </xdr:cNvPr>
            <xdr:cNvSpPr txBox="1"/>
          </xdr:nvSpPr>
          <xdr:spPr>
            <a:xfrm>
              <a:off x="13519765832" y="43510200"/>
              <a:ext cx="383551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d>
                      <m:dPr>
                        <m:ctrlPr>
                          <a:rPr lang="he-IL" sz="1100" b="0" i="1">
                            <a:latin typeface="Cambria Math" panose="02040503050406030204" pitchFamily="18" charset="0"/>
                          </a:rPr>
                        </m:ctrlPr>
                      </m:dPr>
                      <m:e>
                        <m:r>
                          <a:rPr lang="he-IL" sz="1100" b="0" i="1">
                            <a:latin typeface="Cambria Math" panose="02040503050406030204" pitchFamily="18" charset="0"/>
                          </a:rPr>
                          <m:t>2019</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he-IL" sz="1100" b="0" i="1">
                            <a:latin typeface="Cambria Math" panose="02040503050406030204" pitchFamily="18" charset="0"/>
                          </a:rPr>
                          <m:t>5,000</m:t>
                        </m:r>
                        <m:r>
                          <a:rPr lang="en-US" sz="1100" b="0" i="1">
                            <a:latin typeface="Cambria Math" panose="02040503050406030204" pitchFamily="18" charset="0"/>
                          </a:rPr>
                          <m:t>−</m:t>
                        </m:r>
                        <m:r>
                          <a:rPr lang="he-IL" sz="1100" b="0" i="1">
                            <a:latin typeface="Cambria Math" panose="02040503050406030204" pitchFamily="18" charset="0"/>
                          </a:rPr>
                          <m:t>1,000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6</m:t>
                        </m:r>
                      </m:num>
                      <m:den>
                        <m:r>
                          <a:rPr lang="he-IL" sz="1100" b="0" i="1">
                            <a:latin typeface="Cambria Math" panose="02040503050406030204" pitchFamily="18" charset="0"/>
                          </a:rPr>
                          <m:t>36</m:t>
                        </m:r>
                      </m:den>
                    </m:f>
                    <m:r>
                      <a:rPr lang="en-US" sz="1100" b="0" i="1">
                        <a:latin typeface="Cambria Math" panose="02040503050406030204" pitchFamily="18" charset="0"/>
                      </a:rPr>
                      <m:t>≈</m:t>
                    </m:r>
                    <m:r>
                      <a:rPr lang="he-IL" sz="1100" b="0" i="1">
                        <a:latin typeface="Cambria Math" panose="02040503050406030204" pitchFamily="18" charset="0"/>
                      </a:rPr>
                      <m:t>667</m:t>
                    </m:r>
                  </m:oMath>
                </m:oMathPara>
              </a14:m>
              <a:endParaRPr lang="en-US" sz="1100"/>
            </a:p>
          </xdr:txBody>
        </xdr:sp>
      </mc:Choice>
      <mc:Fallback xmlns="">
        <xdr:sp macro="" textlink="">
          <xdr:nvSpPr>
            <xdr:cNvPr id="34" name="TextBox 33">
              <a:extLst>
                <a:ext uri="{FF2B5EF4-FFF2-40B4-BE49-F238E27FC236}">
                  <a16:creationId xmlns:a16="http://schemas.microsoft.com/office/drawing/2014/main" id="{C72DE814-9C0C-9040-99C7-3F32E9E23EA7}"/>
                </a:ext>
              </a:extLst>
            </xdr:cNvPr>
            <xdr:cNvSpPr txBox="1"/>
          </xdr:nvSpPr>
          <xdr:spPr>
            <a:xfrm>
              <a:off x="13519765832" y="43510200"/>
              <a:ext cx="383551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(2019)</a:t>
              </a:r>
              <a:r>
                <a:rPr lang="en-US" sz="1100" b="0" i="0">
                  <a:latin typeface="Cambria Math" panose="02040503050406030204" pitchFamily="18" charset="0"/>
                </a:rPr>
                <a:t>=(</a:t>
              </a:r>
              <a:r>
                <a:rPr lang="he-IL" sz="1100" b="0" i="0">
                  <a:latin typeface="Cambria Math" panose="02040503050406030204" pitchFamily="18" charset="0"/>
                </a:rPr>
                <a:t>5,000</a:t>
              </a:r>
              <a:r>
                <a:rPr lang="en-US" sz="1100" b="0" i="0">
                  <a:latin typeface="Cambria Math" panose="02040503050406030204" pitchFamily="18" charset="0"/>
                </a:rPr>
                <a:t>−</a:t>
              </a:r>
              <a:r>
                <a:rPr lang="he-IL" sz="1100" b="0" i="0">
                  <a:latin typeface="Cambria Math" panose="02040503050406030204" pitchFamily="18" charset="0"/>
                </a:rPr>
                <a:t>1,000</a:t>
              </a:r>
              <a:r>
                <a:rPr lang="en-US" sz="1100" b="0" i="0">
                  <a:latin typeface="Cambria Math" panose="02040503050406030204" pitchFamily="18" charset="0"/>
                </a:rPr>
                <a:t>)∗</a:t>
              </a:r>
              <a:r>
                <a:rPr lang="he-IL" sz="1100" b="0" i="0">
                  <a:latin typeface="Cambria Math" panose="02040503050406030204" pitchFamily="18" charset="0"/>
                </a:rPr>
                <a:t>6</a:t>
              </a:r>
              <a:r>
                <a:rPr lang="en-US" sz="1100" b="0" i="0">
                  <a:latin typeface="Cambria Math" panose="02040503050406030204" pitchFamily="18" charset="0"/>
                </a:rPr>
                <a:t>/</a:t>
              </a:r>
              <a:r>
                <a:rPr lang="he-IL" sz="1100" b="0" i="0">
                  <a:latin typeface="Cambria Math" panose="02040503050406030204" pitchFamily="18" charset="0"/>
                </a:rPr>
                <a:t>36</a:t>
              </a:r>
              <a:r>
                <a:rPr lang="en-US" sz="1100" b="0" i="0">
                  <a:latin typeface="Cambria Math" panose="02040503050406030204" pitchFamily="18" charset="0"/>
                </a:rPr>
                <a:t>≈</a:t>
              </a:r>
              <a:r>
                <a:rPr lang="he-IL" sz="1100" b="0" i="0">
                  <a:latin typeface="Cambria Math" panose="02040503050406030204" pitchFamily="18" charset="0"/>
                </a:rPr>
                <a:t>667</a:t>
              </a:r>
              <a:endParaRPr lang="en-US" sz="1100"/>
            </a:p>
          </xdr:txBody>
        </xdr:sp>
      </mc:Fallback>
    </mc:AlternateContent>
    <xdr:clientData/>
  </xdr:oneCellAnchor>
  <xdr:oneCellAnchor>
    <xdr:from>
      <xdr:col>1</xdr:col>
      <xdr:colOff>450850</xdr:colOff>
      <xdr:row>323</xdr:row>
      <xdr:rowOff>196850</xdr:rowOff>
    </xdr:from>
    <xdr:ext cx="3835518" cy="427553"/>
    <mc:AlternateContent xmlns:mc="http://schemas.openxmlformats.org/markup-compatibility/2006" xmlns:a14="http://schemas.microsoft.com/office/drawing/2010/main">
      <mc:Choice Requires="a14">
        <xdr:sp macro="" textlink="">
          <xdr:nvSpPr>
            <xdr:cNvPr id="36" name="TextBox 35">
              <a:extLst>
                <a:ext uri="{FF2B5EF4-FFF2-40B4-BE49-F238E27FC236}">
                  <a16:creationId xmlns:a16="http://schemas.microsoft.com/office/drawing/2014/main" id="{5478E2FC-DDB5-824C-8A65-6B38093C5509}"/>
                </a:ext>
              </a:extLst>
            </xdr:cNvPr>
            <xdr:cNvSpPr txBox="1"/>
          </xdr:nvSpPr>
          <xdr:spPr>
            <a:xfrm>
              <a:off x="13519880132" y="44977050"/>
              <a:ext cx="3835518" cy="4275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d>
                      <m:dPr>
                        <m:ctrlPr>
                          <a:rPr lang="he-IL" sz="1100" b="0" i="1">
                            <a:latin typeface="Cambria Math" panose="02040503050406030204" pitchFamily="18" charset="0"/>
                          </a:rPr>
                        </m:ctrlPr>
                      </m:dPr>
                      <m:e>
                        <m:r>
                          <a:rPr lang="he-IL" sz="1100" b="0" i="1">
                            <a:latin typeface="Cambria Math" panose="02040503050406030204" pitchFamily="18" charset="0"/>
                          </a:rPr>
                          <m:t>20</m:t>
                        </m:r>
                        <m:r>
                          <a:rPr lang="en-US" sz="1100" b="0" i="1">
                            <a:latin typeface="Cambria Math" panose="02040503050406030204" pitchFamily="18" charset="0"/>
                          </a:rPr>
                          <m:t>20</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he-IL" sz="1100" b="0" i="1">
                            <a:latin typeface="Cambria Math" panose="02040503050406030204" pitchFamily="18" charset="0"/>
                          </a:rPr>
                          <m:t>5,000</m:t>
                        </m:r>
                        <m:r>
                          <a:rPr lang="en-US" sz="1100" b="0" i="1">
                            <a:latin typeface="Cambria Math" panose="02040503050406030204" pitchFamily="18" charset="0"/>
                          </a:rPr>
                          <m:t>−</m:t>
                        </m:r>
                        <m:r>
                          <a:rPr lang="he-IL" sz="1100" b="0" i="1">
                            <a:latin typeface="Cambria Math" panose="02040503050406030204" pitchFamily="18" charset="0"/>
                          </a:rPr>
                          <m:t>1,000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5</m:t>
                        </m:r>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9</m:t>
                            </m:r>
                          </m:num>
                          <m:den>
                            <m:r>
                              <a:rPr lang="he-IL" sz="1100" b="0" i="1">
                                <a:latin typeface="Cambria Math" panose="02040503050406030204" pitchFamily="18" charset="0"/>
                              </a:rPr>
                              <m:t>12</m:t>
                            </m:r>
                          </m:den>
                        </m:f>
                      </m:num>
                      <m:den>
                        <m:r>
                          <a:rPr lang="he-IL" sz="1100" b="0" i="1">
                            <a:latin typeface="Cambria Math" panose="02040503050406030204" pitchFamily="18" charset="0"/>
                          </a:rPr>
                          <m:t>36</m:t>
                        </m:r>
                      </m:den>
                    </m:f>
                    <m:r>
                      <a:rPr lang="en-US" sz="1100" b="0" i="1">
                        <a:latin typeface="Cambria Math" panose="02040503050406030204" pitchFamily="18" charset="0"/>
                      </a:rPr>
                      <m:t>≈</m:t>
                    </m:r>
                    <m:r>
                      <a:rPr lang="he-IL" sz="1100" b="0" i="1">
                        <a:latin typeface="Cambria Math" panose="02040503050406030204" pitchFamily="18" charset="0"/>
                      </a:rPr>
                      <m:t>417</m:t>
                    </m:r>
                  </m:oMath>
                </m:oMathPara>
              </a14:m>
              <a:endParaRPr lang="en-US" sz="1100"/>
            </a:p>
          </xdr:txBody>
        </xdr:sp>
      </mc:Choice>
      <mc:Fallback xmlns="">
        <xdr:sp macro="" textlink="">
          <xdr:nvSpPr>
            <xdr:cNvPr id="36" name="TextBox 35">
              <a:extLst>
                <a:ext uri="{FF2B5EF4-FFF2-40B4-BE49-F238E27FC236}">
                  <a16:creationId xmlns:a16="http://schemas.microsoft.com/office/drawing/2014/main" id="{5478E2FC-DDB5-824C-8A65-6B38093C5509}"/>
                </a:ext>
              </a:extLst>
            </xdr:cNvPr>
            <xdr:cNvSpPr txBox="1"/>
          </xdr:nvSpPr>
          <xdr:spPr>
            <a:xfrm>
              <a:off x="13519880132" y="44977050"/>
              <a:ext cx="3835518" cy="4275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(20</a:t>
              </a:r>
              <a:r>
                <a:rPr lang="en-US" sz="1100" b="0" i="0">
                  <a:latin typeface="Cambria Math" panose="02040503050406030204" pitchFamily="18" charset="0"/>
                </a:rPr>
                <a:t>20</a:t>
              </a:r>
              <a:r>
                <a:rPr lang="he-IL" sz="1100" b="0" i="0">
                  <a:latin typeface="Cambria Math" panose="02040503050406030204" pitchFamily="18" charset="0"/>
                </a:rPr>
                <a:t>)</a:t>
              </a:r>
              <a:r>
                <a:rPr lang="en-US" sz="1100" b="0" i="0">
                  <a:latin typeface="Cambria Math" panose="02040503050406030204" pitchFamily="18" charset="0"/>
                </a:rPr>
                <a:t>=(</a:t>
              </a:r>
              <a:r>
                <a:rPr lang="he-IL" sz="1100" b="0" i="0">
                  <a:latin typeface="Cambria Math" panose="02040503050406030204" pitchFamily="18" charset="0"/>
                </a:rPr>
                <a:t>5,000</a:t>
              </a:r>
              <a:r>
                <a:rPr lang="en-US" sz="1100" b="0" i="0">
                  <a:latin typeface="Cambria Math" panose="02040503050406030204" pitchFamily="18" charset="0"/>
                </a:rPr>
                <a:t>−</a:t>
              </a:r>
              <a:r>
                <a:rPr lang="he-IL" sz="1100" b="0" i="0">
                  <a:latin typeface="Cambria Math" panose="02040503050406030204" pitchFamily="18" charset="0"/>
                </a:rPr>
                <a:t>1,000</a:t>
              </a:r>
              <a:r>
                <a:rPr lang="en-US" sz="1100" b="0" i="0">
                  <a:latin typeface="Cambria Math" panose="02040503050406030204" pitchFamily="18" charset="0"/>
                </a:rPr>
                <a:t>)∗(5</a:t>
              </a:r>
              <a:r>
                <a:rPr lang="he-IL" sz="1100" b="0" i="0">
                  <a:latin typeface="Cambria Math" panose="02040503050406030204" pitchFamily="18" charset="0"/>
                </a:rPr>
                <a:t>∗9/12</a:t>
              </a:r>
              <a:r>
                <a:rPr lang="en-US" sz="1100" b="0" i="0">
                  <a:latin typeface="Cambria Math" panose="02040503050406030204" pitchFamily="18" charset="0"/>
                </a:rPr>
                <a:t>)/</a:t>
              </a:r>
              <a:r>
                <a:rPr lang="he-IL" sz="1100" b="0" i="0">
                  <a:latin typeface="Cambria Math" panose="02040503050406030204" pitchFamily="18" charset="0"/>
                </a:rPr>
                <a:t>36</a:t>
              </a:r>
              <a:r>
                <a:rPr lang="en-US" sz="1100" b="0" i="0">
                  <a:latin typeface="Cambria Math" panose="02040503050406030204" pitchFamily="18" charset="0"/>
                </a:rPr>
                <a:t>≈</a:t>
              </a:r>
              <a:r>
                <a:rPr lang="he-IL" sz="1100" b="0" i="0">
                  <a:latin typeface="Cambria Math" panose="02040503050406030204" pitchFamily="18" charset="0"/>
                </a:rPr>
                <a:t>417</a:t>
              </a:r>
              <a:endParaRPr lang="en-US" sz="1100"/>
            </a:p>
          </xdr:txBody>
        </xdr:sp>
      </mc:Fallback>
    </mc:AlternateContent>
    <xdr:clientData/>
  </xdr:oneCellAnchor>
  <xdr:twoCellAnchor>
    <xdr:from>
      <xdr:col>2</xdr:col>
      <xdr:colOff>422276</xdr:colOff>
      <xdr:row>287</xdr:row>
      <xdr:rowOff>9524</xdr:rowOff>
    </xdr:from>
    <xdr:to>
      <xdr:col>3</xdr:col>
      <xdr:colOff>450851</xdr:colOff>
      <xdr:row>288</xdr:row>
      <xdr:rowOff>82549</xdr:rowOff>
    </xdr:to>
    <xdr:sp macro="" textlink="">
      <xdr:nvSpPr>
        <xdr:cNvPr id="37" name="Right Bracket 36">
          <a:extLst>
            <a:ext uri="{FF2B5EF4-FFF2-40B4-BE49-F238E27FC236}">
              <a16:creationId xmlns:a16="http://schemas.microsoft.com/office/drawing/2014/main" id="{EC7F843F-F788-234B-812B-9AC3199F6836}"/>
            </a:ext>
          </a:extLst>
        </xdr:cNvPr>
        <xdr:cNvSpPr/>
      </xdr:nvSpPr>
      <xdr:spPr>
        <a:xfrm rot="16200000">
          <a:off x="13522353574" y="36982399"/>
          <a:ext cx="276225" cy="854075"/>
        </a:xfrm>
        <a:prstGeom prst="rightBracket">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196850</xdr:colOff>
      <xdr:row>323</xdr:row>
      <xdr:rowOff>63500</xdr:rowOff>
    </xdr:from>
    <xdr:to>
      <xdr:col>3</xdr:col>
      <xdr:colOff>514350</xdr:colOff>
      <xdr:row>324</xdr:row>
      <xdr:rowOff>69850</xdr:rowOff>
    </xdr:to>
    <xdr:cxnSp macro="">
      <xdr:nvCxnSpPr>
        <xdr:cNvPr id="39" name="Straight Arrow Connector 38">
          <a:extLst>
            <a:ext uri="{FF2B5EF4-FFF2-40B4-BE49-F238E27FC236}">
              <a16:creationId xmlns:a16="http://schemas.microsoft.com/office/drawing/2014/main" id="{73D173C1-B305-0B45-89B4-D106B4D95AC1}"/>
            </a:ext>
          </a:extLst>
        </xdr:cNvPr>
        <xdr:cNvCxnSpPr/>
      </xdr:nvCxnSpPr>
      <xdr:spPr>
        <a:xfrm flipH="1" flipV="1">
          <a:off x="13522001150" y="44843700"/>
          <a:ext cx="317500" cy="2095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63500</xdr:colOff>
      <xdr:row>323</xdr:row>
      <xdr:rowOff>88900</xdr:rowOff>
    </xdr:from>
    <xdr:to>
      <xdr:col>2</xdr:col>
      <xdr:colOff>622300</xdr:colOff>
      <xdr:row>324</xdr:row>
      <xdr:rowOff>50800</xdr:rowOff>
    </xdr:to>
    <xdr:cxnSp macro="">
      <xdr:nvCxnSpPr>
        <xdr:cNvPr id="40" name="Straight Arrow Connector 39">
          <a:extLst>
            <a:ext uri="{FF2B5EF4-FFF2-40B4-BE49-F238E27FC236}">
              <a16:creationId xmlns:a16="http://schemas.microsoft.com/office/drawing/2014/main" id="{64E77757-7B55-3D42-B0E4-0D3DA610F3B9}"/>
            </a:ext>
          </a:extLst>
        </xdr:cNvPr>
        <xdr:cNvCxnSpPr/>
      </xdr:nvCxnSpPr>
      <xdr:spPr>
        <a:xfrm flipV="1">
          <a:off x="13522718700" y="44869100"/>
          <a:ext cx="558800" cy="165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80381</xdr:colOff>
      <xdr:row>330</xdr:row>
      <xdr:rowOff>150042</xdr:rowOff>
    </xdr:from>
    <xdr:ext cx="3155773" cy="346954"/>
    <mc:AlternateContent xmlns:mc="http://schemas.openxmlformats.org/markup-compatibility/2006" xmlns:a14="http://schemas.microsoft.com/office/drawing/2010/main">
      <mc:Choice Requires="a14">
        <xdr:sp macro="" textlink="">
          <xdr:nvSpPr>
            <xdr:cNvPr id="43" name="TextBox 42">
              <a:extLst>
                <a:ext uri="{FF2B5EF4-FFF2-40B4-BE49-F238E27FC236}">
                  <a16:creationId xmlns:a16="http://schemas.microsoft.com/office/drawing/2014/main" id="{ADB3FC1C-EA1F-7C4C-8828-4B445F535567}"/>
                </a:ext>
              </a:extLst>
            </xdr:cNvPr>
            <xdr:cNvSpPr txBox="1"/>
          </xdr:nvSpPr>
          <xdr:spPr>
            <a:xfrm>
              <a:off x="13515715576" y="46438059"/>
              <a:ext cx="3155773" cy="3469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𝑆𝑈𝑀</m:t>
                    </m:r>
                    <m:r>
                      <a:rPr lang="en-US" sz="1100" b="0" i="1">
                        <a:latin typeface="Cambria Math" panose="02040503050406030204" pitchFamily="18" charset="0"/>
                      </a:rPr>
                      <m:t>(</m:t>
                    </m:r>
                    <m:r>
                      <a:rPr lang="en-US" sz="1100" b="0" i="1">
                        <a:latin typeface="Cambria Math" panose="02040503050406030204" pitchFamily="18" charset="0"/>
                      </a:rPr>
                      <m:t>𝐷</m:t>
                    </m:r>
                    <m:r>
                      <a:rPr lang="en-US" sz="1100" b="0" i="1">
                        <a:latin typeface="Cambria Math" panose="02040503050406030204" pitchFamily="18" charset="0"/>
                      </a:rPr>
                      <m:t>)=</m:t>
                    </m:r>
                    <m:d>
                      <m:dPr>
                        <m:ctrlPr>
                          <a:rPr lang="en-US" sz="1100" b="0" i="1">
                            <a:latin typeface="Cambria Math" panose="02040503050406030204" pitchFamily="18" charset="0"/>
                          </a:rPr>
                        </m:ctrlPr>
                      </m:dPr>
                      <m:e>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𝐺</m:t>
                            </m:r>
                          </m:sub>
                        </m:sSub>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𝐷𝑖𝑔𝑖</m:t>
                        </m:r>
                        <m:sSub>
                          <m:sSubPr>
                            <m:ctrlPr>
                              <a:rPr lang="en-US" sz="1100" b="0" i="1">
                                <a:latin typeface="Cambria Math" panose="02040503050406030204" pitchFamily="18" charset="0"/>
                              </a:rPr>
                            </m:ctrlPr>
                          </m:sSubPr>
                          <m:e>
                            <m:r>
                              <a:rPr lang="en-US" sz="1100" b="0" i="1">
                                <a:latin typeface="Cambria Math" panose="02040503050406030204" pitchFamily="18" charset="0"/>
                              </a:rPr>
                              <m:t>𝑡</m:t>
                            </m:r>
                          </m:e>
                          <m:sub>
                            <m:r>
                              <a:rPr lang="en-US" sz="1100" b="0" i="1">
                                <a:latin typeface="Cambria Math" panose="02040503050406030204" pitchFamily="18" charset="0"/>
                              </a:rPr>
                              <m:t>1</m:t>
                            </m:r>
                          </m:sub>
                        </m:sSub>
                        <m:r>
                          <a:rPr lang="en-US" sz="1100" b="0" i="1">
                            <a:latin typeface="Cambria Math" panose="02040503050406030204" pitchFamily="18" charset="0"/>
                          </a:rPr>
                          <m:t>+</m:t>
                        </m:r>
                        <m:r>
                          <a:rPr lang="en-US" sz="1100" b="0" i="1">
                            <a:latin typeface="Cambria Math" panose="02040503050406030204" pitchFamily="18" charset="0"/>
                          </a:rPr>
                          <m:t>𝐷𝑖𝑔𝑖</m:t>
                        </m:r>
                        <m:sSub>
                          <m:sSubPr>
                            <m:ctrlPr>
                              <a:rPr lang="en-US" sz="1100" b="0" i="1">
                                <a:latin typeface="Cambria Math" panose="02040503050406030204" pitchFamily="18" charset="0"/>
                              </a:rPr>
                            </m:ctrlPr>
                          </m:sSubPr>
                          <m:e>
                            <m:r>
                              <a:rPr lang="en-US" sz="1100" b="0" i="1">
                                <a:latin typeface="Cambria Math" panose="02040503050406030204" pitchFamily="18" charset="0"/>
                              </a:rPr>
                              <m:t>𝑡</m:t>
                            </m:r>
                          </m:e>
                          <m:sub>
                            <m:r>
                              <a:rPr lang="en-US" sz="1100" b="0" i="1">
                                <a:latin typeface="Cambria Math" panose="02040503050406030204" pitchFamily="18" charset="0"/>
                              </a:rPr>
                              <m:t>2</m:t>
                            </m:r>
                          </m:sub>
                        </m:sSub>
                        <m:r>
                          <a:rPr lang="en-US" sz="1100" b="0" i="1">
                            <a:latin typeface="Cambria Math" panose="02040503050406030204" pitchFamily="18" charset="0"/>
                          </a:rPr>
                          <m:t>+…</m:t>
                        </m:r>
                      </m:num>
                      <m:den>
                        <m:r>
                          <a:rPr lang="en-US" sz="1100" b="0" i="1">
                            <a:latin typeface="Cambria Math" panose="02040503050406030204" pitchFamily="18" charset="0"/>
                          </a:rPr>
                          <m:t>𝑆𝑢𝑚</m:t>
                        </m:r>
                        <m:r>
                          <a:rPr lang="en-US" sz="1100" b="0" i="1">
                            <a:latin typeface="Cambria Math" panose="02040503050406030204" pitchFamily="18" charset="0"/>
                          </a:rPr>
                          <m:t>(</m:t>
                        </m:r>
                        <m:r>
                          <a:rPr lang="en-US" sz="1100" b="0" i="1">
                            <a:latin typeface="Cambria Math" panose="02040503050406030204" pitchFamily="18" charset="0"/>
                          </a:rPr>
                          <m:t>𝐷𝑖𝑔𝑖𝑡𝑠</m:t>
                        </m:r>
                        <m:r>
                          <a:rPr lang="en-US" sz="1100" b="0" i="1">
                            <a:latin typeface="Cambria Math" panose="02040503050406030204" pitchFamily="18" charset="0"/>
                          </a:rPr>
                          <m:t>)</m:t>
                        </m:r>
                      </m:den>
                    </m:f>
                  </m:oMath>
                </m:oMathPara>
              </a14:m>
              <a:endParaRPr lang="en-US" sz="1100"/>
            </a:p>
          </xdr:txBody>
        </xdr:sp>
      </mc:Choice>
      <mc:Fallback xmlns="">
        <xdr:sp macro="" textlink="">
          <xdr:nvSpPr>
            <xdr:cNvPr id="43" name="TextBox 42">
              <a:extLst>
                <a:ext uri="{FF2B5EF4-FFF2-40B4-BE49-F238E27FC236}">
                  <a16:creationId xmlns:a16="http://schemas.microsoft.com/office/drawing/2014/main" id="{ADB3FC1C-EA1F-7C4C-8828-4B445F535567}"/>
                </a:ext>
              </a:extLst>
            </xdr:cNvPr>
            <xdr:cNvSpPr txBox="1"/>
          </xdr:nvSpPr>
          <xdr:spPr>
            <a:xfrm>
              <a:off x="13515715576" y="46438059"/>
              <a:ext cx="3155773" cy="3469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𝑆𝑈𝑀(𝐷)=(𝐼_0−𝐼_𝐺 )∗(𝐷𝑖𝑔𝑖𝑡_1+𝐷𝑖𝑔𝑖𝑡_2+…)/(𝑆𝑢𝑚(𝐷𝑖𝑔𝑖𝑡𝑠))</a:t>
              </a:r>
              <a:endParaRPr lang="en-US" sz="1100"/>
            </a:p>
          </xdr:txBody>
        </xdr:sp>
      </mc:Fallback>
    </mc:AlternateContent>
    <xdr:clientData/>
  </xdr:oneCellAnchor>
  <xdr:oneCellAnchor>
    <xdr:from>
      <xdr:col>1</xdr:col>
      <xdr:colOff>493720</xdr:colOff>
      <xdr:row>335</xdr:row>
      <xdr:rowOff>100395</xdr:rowOff>
    </xdr:from>
    <xdr:ext cx="3835518" cy="427553"/>
    <mc:AlternateContent xmlns:mc="http://schemas.openxmlformats.org/markup-compatibility/2006" xmlns:a14="http://schemas.microsoft.com/office/drawing/2010/main">
      <mc:Choice Requires="a14">
        <xdr:sp macro="" textlink="">
          <xdr:nvSpPr>
            <xdr:cNvPr id="44" name="TextBox 43">
              <a:extLst>
                <a:ext uri="{FF2B5EF4-FFF2-40B4-BE49-F238E27FC236}">
                  <a16:creationId xmlns:a16="http://schemas.microsoft.com/office/drawing/2014/main" id="{78D96872-066F-4E46-8DA9-65816293E463}"/>
                </a:ext>
              </a:extLst>
            </xdr:cNvPr>
            <xdr:cNvSpPr txBox="1"/>
          </xdr:nvSpPr>
          <xdr:spPr>
            <a:xfrm>
              <a:off x="13515447724" y="47406555"/>
              <a:ext cx="3835518" cy="4275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𝑆𝑈𝑀</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30.9.2020</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he-IL" sz="1100" b="0" i="1">
                            <a:latin typeface="Cambria Math" panose="02040503050406030204" pitchFamily="18" charset="0"/>
                          </a:rPr>
                          <m:t>5,000</m:t>
                        </m:r>
                        <m:r>
                          <a:rPr lang="en-US" sz="1100" b="0" i="1">
                            <a:latin typeface="Cambria Math" panose="02040503050406030204" pitchFamily="18" charset="0"/>
                          </a:rPr>
                          <m:t>−</m:t>
                        </m:r>
                        <m:r>
                          <a:rPr lang="he-IL" sz="1100" b="0" i="1">
                            <a:latin typeface="Cambria Math" panose="02040503050406030204" pitchFamily="18" charset="0"/>
                          </a:rPr>
                          <m:t>1,000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1" i="1">
                            <a:solidFill>
                              <a:srgbClr val="FF0000"/>
                            </a:solidFill>
                            <a:latin typeface="Cambria Math" panose="02040503050406030204" pitchFamily="18" charset="0"/>
                          </a:rPr>
                          <m:t>𝟖</m:t>
                        </m:r>
                        <m:r>
                          <a:rPr lang="en-US" sz="1100" b="1" i="1">
                            <a:solidFill>
                              <a:srgbClr val="FF0000"/>
                            </a:solidFill>
                            <a:latin typeface="Cambria Math" panose="02040503050406030204" pitchFamily="18" charset="0"/>
                          </a:rPr>
                          <m:t>+</m:t>
                        </m:r>
                        <m:r>
                          <a:rPr lang="en-US" sz="1100" b="1" i="1">
                            <a:solidFill>
                              <a:srgbClr val="FF0000"/>
                            </a:solidFill>
                            <a:latin typeface="Cambria Math" panose="02040503050406030204" pitchFamily="18" charset="0"/>
                          </a:rPr>
                          <m:t>𝟕</m:t>
                        </m:r>
                        <m:r>
                          <a:rPr lang="en-US" sz="1100" b="1" i="1">
                            <a:solidFill>
                              <a:srgbClr val="FF0000"/>
                            </a:solidFill>
                            <a:latin typeface="Cambria Math" panose="02040503050406030204" pitchFamily="18" charset="0"/>
                          </a:rPr>
                          <m:t>+</m:t>
                        </m:r>
                        <m:r>
                          <a:rPr lang="en-US" sz="1100" b="1" i="1">
                            <a:solidFill>
                              <a:srgbClr val="FF0000"/>
                            </a:solidFill>
                            <a:latin typeface="Cambria Math" panose="02040503050406030204" pitchFamily="18" charset="0"/>
                          </a:rPr>
                          <m:t>𝟔</m:t>
                        </m:r>
                        <m:r>
                          <a:rPr lang="en-US" sz="1100" b="1" i="1">
                            <a:solidFill>
                              <a:srgbClr val="FF0000"/>
                            </a:solidFill>
                            <a:latin typeface="Cambria Math" panose="02040503050406030204" pitchFamily="18" charset="0"/>
                          </a:rPr>
                          <m:t>+</m:t>
                        </m:r>
                        <m:r>
                          <a:rPr lang="en-US" sz="1100" b="1" i="1">
                            <a:solidFill>
                              <a:srgbClr val="FF0000"/>
                            </a:solidFill>
                            <a:latin typeface="Cambria Math" panose="02040503050406030204" pitchFamily="18" charset="0"/>
                          </a:rPr>
                          <m:t>𝟓</m:t>
                        </m:r>
                        <m:r>
                          <a:rPr lang="en-US" sz="1100" b="1" i="1">
                            <a:solidFill>
                              <a:srgbClr val="FF0000"/>
                            </a:solidFill>
                            <a:latin typeface="Cambria Math" panose="02040503050406030204" pitchFamily="18" charset="0"/>
                          </a:rPr>
                          <m:t>∗</m:t>
                        </m:r>
                        <m:f>
                          <m:fPr>
                            <m:ctrlPr>
                              <a:rPr lang="en-US" sz="1100" b="1" i="1">
                                <a:solidFill>
                                  <a:srgbClr val="FF0000"/>
                                </a:solidFill>
                                <a:latin typeface="Cambria Math" panose="02040503050406030204" pitchFamily="18" charset="0"/>
                              </a:rPr>
                            </m:ctrlPr>
                          </m:fPr>
                          <m:num>
                            <m:r>
                              <a:rPr lang="en-US" sz="1100" b="1" i="1">
                                <a:solidFill>
                                  <a:srgbClr val="FF0000"/>
                                </a:solidFill>
                                <a:latin typeface="Cambria Math" panose="02040503050406030204" pitchFamily="18" charset="0"/>
                              </a:rPr>
                              <m:t>𝟗</m:t>
                            </m:r>
                          </m:num>
                          <m:den>
                            <m:r>
                              <a:rPr lang="en-US" sz="1100" b="1" i="1">
                                <a:solidFill>
                                  <a:srgbClr val="FF0000"/>
                                </a:solidFill>
                                <a:latin typeface="Cambria Math" panose="02040503050406030204" pitchFamily="18" charset="0"/>
                              </a:rPr>
                              <m:t>𝟏𝟐</m:t>
                            </m:r>
                          </m:den>
                        </m:f>
                      </m:num>
                      <m:den>
                        <m:r>
                          <a:rPr lang="he-IL" sz="1100" b="0" i="1">
                            <a:latin typeface="Cambria Math" panose="02040503050406030204" pitchFamily="18" charset="0"/>
                          </a:rPr>
                          <m:t>36</m:t>
                        </m:r>
                      </m:den>
                    </m:f>
                    <m:r>
                      <a:rPr lang="en-US" sz="1100" b="0" i="1">
                        <a:latin typeface="Cambria Math" panose="02040503050406030204" pitchFamily="18" charset="0"/>
                      </a:rPr>
                      <m:t>≈</m:t>
                    </m:r>
                  </m:oMath>
                </m:oMathPara>
              </a14:m>
              <a:endParaRPr lang="en-US" sz="1100"/>
            </a:p>
          </xdr:txBody>
        </xdr:sp>
      </mc:Choice>
      <mc:Fallback xmlns="">
        <xdr:sp macro="" textlink="">
          <xdr:nvSpPr>
            <xdr:cNvPr id="44" name="TextBox 43">
              <a:extLst>
                <a:ext uri="{FF2B5EF4-FFF2-40B4-BE49-F238E27FC236}">
                  <a16:creationId xmlns:a16="http://schemas.microsoft.com/office/drawing/2014/main" id="{78D96872-066F-4E46-8DA9-65816293E463}"/>
                </a:ext>
              </a:extLst>
            </xdr:cNvPr>
            <xdr:cNvSpPr txBox="1"/>
          </xdr:nvSpPr>
          <xdr:spPr>
            <a:xfrm>
              <a:off x="13515447724" y="47406555"/>
              <a:ext cx="3835518" cy="4275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𝑆𝑈𝑀(𝐷_30.9.2020)=(</a:t>
              </a:r>
              <a:r>
                <a:rPr lang="he-IL" sz="1100" b="0" i="0">
                  <a:latin typeface="Cambria Math" panose="02040503050406030204" pitchFamily="18" charset="0"/>
                </a:rPr>
                <a:t>5,000</a:t>
              </a:r>
              <a:r>
                <a:rPr lang="en-US" sz="1100" b="0" i="0">
                  <a:latin typeface="Cambria Math" panose="02040503050406030204" pitchFamily="18" charset="0"/>
                </a:rPr>
                <a:t>−</a:t>
              </a:r>
              <a:r>
                <a:rPr lang="he-IL" sz="1100" b="0" i="0">
                  <a:latin typeface="Cambria Math" panose="02040503050406030204" pitchFamily="18" charset="0"/>
                </a:rPr>
                <a:t>1,000</a:t>
              </a:r>
              <a:r>
                <a:rPr lang="en-US" sz="1100" b="0" i="0">
                  <a:latin typeface="Cambria Math" panose="02040503050406030204" pitchFamily="18" charset="0"/>
                </a:rPr>
                <a:t>)∗(</a:t>
              </a:r>
              <a:r>
                <a:rPr lang="en-US" sz="1100" b="1" i="0">
                  <a:solidFill>
                    <a:srgbClr val="FF0000"/>
                  </a:solidFill>
                  <a:latin typeface="Cambria Math" panose="02040503050406030204" pitchFamily="18" charset="0"/>
                </a:rPr>
                <a:t>𝟖+𝟕+𝟔+𝟓∗𝟗/𝟏𝟐</a:t>
              </a:r>
              <a:r>
                <a:rPr lang="en-US" sz="1100" b="0" i="0">
                  <a:solidFill>
                    <a:srgbClr val="FF0000"/>
                  </a:solidFill>
                  <a:latin typeface="Cambria Math" panose="02040503050406030204" pitchFamily="18" charset="0"/>
                </a:rPr>
                <a:t>)/</a:t>
              </a:r>
              <a:r>
                <a:rPr lang="he-IL" sz="1100" b="0" i="0">
                  <a:latin typeface="Cambria Math" panose="02040503050406030204" pitchFamily="18" charset="0"/>
                </a:rPr>
                <a:t>36</a:t>
              </a:r>
              <a:r>
                <a:rPr lang="en-US" sz="1100" b="0" i="0">
                  <a:latin typeface="Cambria Math" panose="02040503050406030204" pitchFamily="18" charset="0"/>
                </a:rPr>
                <a:t>≈</a:t>
              </a:r>
              <a:endParaRPr lang="en-US" sz="1100"/>
            </a:p>
          </xdr:txBody>
        </xdr:sp>
      </mc:Fallback>
    </mc:AlternateContent>
    <xdr:clientData/>
  </xdr:oneCellAnchor>
  <xdr:oneCellAnchor>
    <xdr:from>
      <xdr:col>3</xdr:col>
      <xdr:colOff>30384</xdr:colOff>
      <xdr:row>376</xdr:row>
      <xdr:rowOff>6077</xdr:rowOff>
    </xdr:from>
    <xdr:ext cx="3155773" cy="346954"/>
    <mc:AlternateContent xmlns:mc="http://schemas.openxmlformats.org/markup-compatibility/2006" xmlns:a14="http://schemas.microsoft.com/office/drawing/2010/main">
      <mc:Choice Requires="a14">
        <xdr:sp macro="" textlink="">
          <xdr:nvSpPr>
            <xdr:cNvPr id="45" name="TextBox 44">
              <a:extLst>
                <a:ext uri="{FF2B5EF4-FFF2-40B4-BE49-F238E27FC236}">
                  <a16:creationId xmlns:a16="http://schemas.microsoft.com/office/drawing/2014/main" id="{4D482879-181B-E644-AC23-0012EE70CC49}"/>
                </a:ext>
              </a:extLst>
            </xdr:cNvPr>
            <xdr:cNvSpPr txBox="1"/>
          </xdr:nvSpPr>
          <xdr:spPr>
            <a:xfrm>
              <a:off x="13534260351" y="54986747"/>
              <a:ext cx="3155773" cy="3469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𝑆𝑈𝑀</m:t>
                    </m:r>
                    <m:r>
                      <a:rPr lang="en-US" sz="1100" b="0" i="1">
                        <a:latin typeface="Cambria Math" panose="02040503050406030204" pitchFamily="18" charset="0"/>
                      </a:rPr>
                      <m:t>(</m:t>
                    </m:r>
                    <m:r>
                      <a:rPr lang="en-US" sz="1100" b="0" i="1">
                        <a:latin typeface="Cambria Math" panose="02040503050406030204" pitchFamily="18" charset="0"/>
                      </a:rPr>
                      <m:t>𝐷</m:t>
                    </m:r>
                    <m:r>
                      <a:rPr lang="en-US" sz="1100" b="0" i="1">
                        <a:latin typeface="Cambria Math" panose="02040503050406030204" pitchFamily="18" charset="0"/>
                      </a:rPr>
                      <m:t>)=</m:t>
                    </m:r>
                    <m:d>
                      <m:dPr>
                        <m:ctrlPr>
                          <a:rPr lang="en-US" sz="1100" b="0" i="1">
                            <a:latin typeface="Cambria Math" panose="02040503050406030204" pitchFamily="18" charset="0"/>
                          </a:rPr>
                        </m:ctrlPr>
                      </m:dPr>
                      <m:e>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𝐺</m:t>
                            </m:r>
                          </m:sub>
                        </m:sSub>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𝐷𝑖𝑔𝑖</m:t>
                        </m:r>
                        <m:sSub>
                          <m:sSubPr>
                            <m:ctrlPr>
                              <a:rPr lang="en-US" sz="1100" b="0" i="1">
                                <a:latin typeface="Cambria Math" panose="02040503050406030204" pitchFamily="18" charset="0"/>
                              </a:rPr>
                            </m:ctrlPr>
                          </m:sSubPr>
                          <m:e>
                            <m:r>
                              <a:rPr lang="en-US" sz="1100" b="0" i="1">
                                <a:latin typeface="Cambria Math" panose="02040503050406030204" pitchFamily="18" charset="0"/>
                              </a:rPr>
                              <m:t>𝑡</m:t>
                            </m:r>
                          </m:e>
                          <m:sub>
                            <m:r>
                              <a:rPr lang="en-US" sz="1100" b="0" i="1">
                                <a:latin typeface="Cambria Math" panose="02040503050406030204" pitchFamily="18" charset="0"/>
                              </a:rPr>
                              <m:t>1</m:t>
                            </m:r>
                          </m:sub>
                        </m:sSub>
                        <m:r>
                          <a:rPr lang="en-US" sz="1100" b="0" i="1">
                            <a:latin typeface="Cambria Math" panose="02040503050406030204" pitchFamily="18" charset="0"/>
                          </a:rPr>
                          <m:t>+</m:t>
                        </m:r>
                        <m:r>
                          <a:rPr lang="en-US" sz="1100" b="0" i="1">
                            <a:latin typeface="Cambria Math" panose="02040503050406030204" pitchFamily="18" charset="0"/>
                          </a:rPr>
                          <m:t>𝐷𝑖𝑔𝑖</m:t>
                        </m:r>
                        <m:sSub>
                          <m:sSubPr>
                            <m:ctrlPr>
                              <a:rPr lang="en-US" sz="1100" b="0" i="1">
                                <a:latin typeface="Cambria Math" panose="02040503050406030204" pitchFamily="18" charset="0"/>
                              </a:rPr>
                            </m:ctrlPr>
                          </m:sSubPr>
                          <m:e>
                            <m:r>
                              <a:rPr lang="en-US" sz="1100" b="0" i="1">
                                <a:latin typeface="Cambria Math" panose="02040503050406030204" pitchFamily="18" charset="0"/>
                              </a:rPr>
                              <m:t>𝑡</m:t>
                            </m:r>
                          </m:e>
                          <m:sub>
                            <m:r>
                              <a:rPr lang="en-US" sz="1100" b="0" i="1">
                                <a:latin typeface="Cambria Math" panose="02040503050406030204" pitchFamily="18" charset="0"/>
                              </a:rPr>
                              <m:t>2</m:t>
                            </m:r>
                          </m:sub>
                        </m:sSub>
                        <m:r>
                          <a:rPr lang="en-US" sz="1100" b="0" i="1">
                            <a:latin typeface="Cambria Math" panose="02040503050406030204" pitchFamily="18" charset="0"/>
                          </a:rPr>
                          <m:t>+…</m:t>
                        </m:r>
                      </m:num>
                      <m:den>
                        <m:r>
                          <a:rPr lang="en-US" sz="1100" b="0" i="1">
                            <a:latin typeface="Cambria Math" panose="02040503050406030204" pitchFamily="18" charset="0"/>
                          </a:rPr>
                          <m:t>𝑆𝑢𝑚</m:t>
                        </m:r>
                        <m:r>
                          <a:rPr lang="en-US" sz="1100" b="0" i="1">
                            <a:latin typeface="Cambria Math" panose="02040503050406030204" pitchFamily="18" charset="0"/>
                          </a:rPr>
                          <m:t>(</m:t>
                        </m:r>
                        <m:r>
                          <a:rPr lang="en-US" sz="1100" b="0" i="1">
                            <a:latin typeface="Cambria Math" panose="02040503050406030204" pitchFamily="18" charset="0"/>
                          </a:rPr>
                          <m:t>𝐷𝑖𝑔𝑖𝑡𝑠</m:t>
                        </m:r>
                        <m:r>
                          <a:rPr lang="en-US" sz="1100" b="0" i="1">
                            <a:latin typeface="Cambria Math" panose="02040503050406030204" pitchFamily="18" charset="0"/>
                          </a:rPr>
                          <m:t>)</m:t>
                        </m:r>
                      </m:den>
                    </m:f>
                  </m:oMath>
                </m:oMathPara>
              </a14:m>
              <a:endParaRPr lang="en-US" sz="1100"/>
            </a:p>
          </xdr:txBody>
        </xdr:sp>
      </mc:Choice>
      <mc:Fallback xmlns="">
        <xdr:sp macro="" textlink="">
          <xdr:nvSpPr>
            <xdr:cNvPr id="45" name="TextBox 44">
              <a:extLst>
                <a:ext uri="{FF2B5EF4-FFF2-40B4-BE49-F238E27FC236}">
                  <a16:creationId xmlns:a16="http://schemas.microsoft.com/office/drawing/2014/main" id="{4D482879-181B-E644-AC23-0012EE70CC49}"/>
                </a:ext>
              </a:extLst>
            </xdr:cNvPr>
            <xdr:cNvSpPr txBox="1"/>
          </xdr:nvSpPr>
          <xdr:spPr>
            <a:xfrm>
              <a:off x="13534260351" y="54986747"/>
              <a:ext cx="3155773" cy="3469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𝑆𝑈𝑀(𝐷)=(𝐼_0−𝐼_𝐺 )∗(𝐷𝑖𝑔𝑖𝑡_1+𝐷𝑖𝑔𝑖𝑡_2+…)/(𝑆𝑢𝑚(𝐷𝑖𝑔𝑖𝑡𝑠))</a:t>
              </a:r>
              <a:endParaRPr lang="en-US" sz="1100"/>
            </a:p>
          </xdr:txBody>
        </xdr:sp>
      </mc:Fallback>
    </mc:AlternateContent>
    <xdr:clientData/>
  </xdr:oneCellAnchor>
  <xdr:oneCellAnchor>
    <xdr:from>
      <xdr:col>2</xdr:col>
      <xdr:colOff>48613</xdr:colOff>
      <xdr:row>378</xdr:row>
      <xdr:rowOff>145838</xdr:rowOff>
    </xdr:from>
    <xdr:ext cx="4231324" cy="427489"/>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27E6B80B-DD19-2942-A3E7-94E18604605D}"/>
                </a:ext>
              </a:extLst>
            </xdr:cNvPr>
            <xdr:cNvSpPr txBox="1"/>
          </xdr:nvSpPr>
          <xdr:spPr>
            <a:xfrm>
              <a:off x="13533992982" y="55527560"/>
              <a:ext cx="4231324" cy="4274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𝑆𝑈𝑀</m:t>
                    </m:r>
                    <m:d>
                      <m:dPr>
                        <m:ctrlPr>
                          <a:rPr lang="en-US" sz="1100" b="0" i="1">
                            <a:latin typeface="Cambria Math" panose="02040503050406030204" pitchFamily="18" charset="0"/>
                          </a:rPr>
                        </m:ctrlPr>
                      </m:dPr>
                      <m:e>
                        <m:r>
                          <a:rPr lang="en-US" sz="1100" b="0" i="1">
                            <a:latin typeface="Cambria Math" panose="02040503050406030204" pitchFamily="18" charset="0"/>
                          </a:rPr>
                          <m:t>𝐷</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he-IL" sz="1100" b="0" i="1">
                            <a:latin typeface="Cambria Math" panose="02040503050406030204" pitchFamily="18" charset="0"/>
                          </a:rPr>
                          <m:t>60,000</m:t>
                        </m:r>
                        <m:r>
                          <a:rPr lang="en-US" sz="1100" b="0" i="1">
                            <a:latin typeface="Cambria Math" panose="02040503050406030204" pitchFamily="18" charset="0"/>
                          </a:rPr>
                          <m:t>−</m:t>
                        </m:r>
                        <m:r>
                          <a:rPr lang="he-IL" sz="1100" b="0" i="1">
                            <a:latin typeface="Cambria Math" panose="02040503050406030204" pitchFamily="18" charset="0"/>
                          </a:rPr>
                          <m:t>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1</m:t>
                        </m:r>
                        <m:r>
                          <a:rPr lang="en-US" sz="1100" b="0" i="1">
                            <a:latin typeface="Cambria Math" panose="02040503050406030204" pitchFamily="18" charset="0"/>
                          </a:rPr>
                          <m:t>+</m:t>
                        </m:r>
                        <m:r>
                          <a:rPr lang="he-IL" sz="1100" b="0" i="1">
                            <a:latin typeface="Cambria Math" panose="02040503050406030204" pitchFamily="18" charset="0"/>
                          </a:rPr>
                          <m:t>2</m:t>
                        </m:r>
                        <m:r>
                          <a:rPr lang="en-US" sz="1100" b="0" i="1">
                            <a:latin typeface="Cambria Math" panose="02040503050406030204" pitchFamily="18" charset="0"/>
                          </a:rPr>
                          <m:t>+</m:t>
                        </m:r>
                        <m:r>
                          <a:rPr lang="he-IL" sz="1100" b="0" i="1">
                            <a:latin typeface="Cambria Math" panose="02040503050406030204" pitchFamily="18" charset="0"/>
                          </a:rPr>
                          <m:t>3+4∗</m:t>
                        </m:r>
                        <m:f>
                          <m:fPr>
                            <m:ctrlPr>
                              <a:rPr lang="he-IL" sz="1100" b="0" i="1">
                                <a:latin typeface="Cambria Math" panose="02040503050406030204" pitchFamily="18" charset="0"/>
                              </a:rPr>
                            </m:ctrlPr>
                          </m:fPr>
                          <m:num>
                            <m:r>
                              <a:rPr lang="he-IL" sz="1100" b="0" i="1">
                                <a:latin typeface="Cambria Math" panose="02040503050406030204" pitchFamily="18" charset="0"/>
                              </a:rPr>
                              <m:t>3</m:t>
                            </m:r>
                          </m:num>
                          <m:den>
                            <m:r>
                              <a:rPr lang="he-IL" sz="1100" b="0" i="1">
                                <a:latin typeface="Cambria Math" panose="02040503050406030204" pitchFamily="18" charset="0"/>
                              </a:rPr>
                              <m:t>12</m:t>
                            </m:r>
                          </m:den>
                        </m:f>
                      </m:num>
                      <m:den>
                        <m:r>
                          <a:rPr lang="he-IL" sz="1100" b="0" i="1">
                            <a:latin typeface="Cambria Math" panose="02040503050406030204" pitchFamily="18" charset="0"/>
                          </a:rPr>
                          <m:t>55</m:t>
                        </m:r>
                      </m:den>
                    </m:f>
                    <m:r>
                      <a:rPr lang="he-IL" sz="1100" b="0" i="1">
                        <a:latin typeface="Cambria Math" panose="02040503050406030204" pitchFamily="18" charset="0"/>
                      </a:rPr>
                      <m:t>=7,636</m:t>
                    </m:r>
                  </m:oMath>
                </m:oMathPara>
              </a14:m>
              <a:endParaRPr lang="en-US" sz="1100"/>
            </a:p>
          </xdr:txBody>
        </xdr:sp>
      </mc:Choice>
      <mc:Fallback xmlns="">
        <xdr:sp macro="" textlink="">
          <xdr:nvSpPr>
            <xdr:cNvPr id="46" name="TextBox 45">
              <a:extLst>
                <a:ext uri="{FF2B5EF4-FFF2-40B4-BE49-F238E27FC236}">
                  <a16:creationId xmlns:a16="http://schemas.microsoft.com/office/drawing/2014/main" id="{27E6B80B-DD19-2942-A3E7-94E18604605D}"/>
                </a:ext>
              </a:extLst>
            </xdr:cNvPr>
            <xdr:cNvSpPr txBox="1"/>
          </xdr:nvSpPr>
          <xdr:spPr>
            <a:xfrm>
              <a:off x="13533992982" y="55527560"/>
              <a:ext cx="4231324" cy="4274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𝑆𝑈𝑀(𝐷)=(</a:t>
              </a:r>
              <a:r>
                <a:rPr lang="he-IL" sz="1100" b="0" i="0">
                  <a:latin typeface="Cambria Math" panose="02040503050406030204" pitchFamily="18" charset="0"/>
                </a:rPr>
                <a:t>60,000</a:t>
              </a:r>
              <a:r>
                <a:rPr lang="en-US" sz="1100" b="0" i="0">
                  <a:latin typeface="Cambria Math" panose="02040503050406030204" pitchFamily="18" charset="0"/>
                </a:rPr>
                <a:t>−</a:t>
              </a:r>
              <a:r>
                <a:rPr lang="he-IL" sz="1100" b="0" i="0">
                  <a:latin typeface="Cambria Math" panose="02040503050406030204" pitchFamily="18" charset="0"/>
                </a:rPr>
                <a:t>0</a:t>
              </a:r>
              <a:r>
                <a:rPr lang="en-US" sz="1100" b="0" i="0">
                  <a:latin typeface="Cambria Math" panose="02040503050406030204" pitchFamily="18" charset="0"/>
                </a:rPr>
                <a:t>)∗(</a:t>
              </a:r>
              <a:r>
                <a:rPr lang="he-IL" sz="1100" b="0" i="0">
                  <a:latin typeface="Cambria Math" panose="02040503050406030204" pitchFamily="18" charset="0"/>
                </a:rPr>
                <a:t>1</a:t>
              </a:r>
              <a:r>
                <a:rPr lang="en-US" sz="1100" b="0" i="0">
                  <a:latin typeface="Cambria Math" panose="02040503050406030204" pitchFamily="18" charset="0"/>
                </a:rPr>
                <a:t>+</a:t>
              </a:r>
              <a:r>
                <a:rPr lang="he-IL" sz="1100" b="0" i="0">
                  <a:latin typeface="Cambria Math" panose="02040503050406030204" pitchFamily="18" charset="0"/>
                </a:rPr>
                <a:t>2</a:t>
              </a:r>
              <a:r>
                <a:rPr lang="en-US" sz="1100" b="0" i="0">
                  <a:latin typeface="Cambria Math" panose="02040503050406030204" pitchFamily="18" charset="0"/>
                </a:rPr>
                <a:t>+</a:t>
              </a:r>
              <a:r>
                <a:rPr lang="he-IL" sz="1100" b="0" i="0">
                  <a:latin typeface="Cambria Math" panose="02040503050406030204" pitchFamily="18" charset="0"/>
                </a:rPr>
                <a:t>3+4∗3/12</a:t>
              </a:r>
              <a:r>
                <a:rPr lang="en-US" sz="1100" b="0" i="0">
                  <a:latin typeface="Cambria Math" panose="02040503050406030204" pitchFamily="18" charset="0"/>
                </a:rPr>
                <a:t>)/</a:t>
              </a:r>
              <a:r>
                <a:rPr lang="he-IL" sz="1100" b="0" i="0">
                  <a:latin typeface="Cambria Math" panose="02040503050406030204" pitchFamily="18" charset="0"/>
                </a:rPr>
                <a:t>55=7,636</a:t>
              </a:r>
              <a:endParaRPr lang="en-US" sz="1100"/>
            </a:p>
          </xdr:txBody>
        </xdr:sp>
      </mc:Fallback>
    </mc:AlternateContent>
    <xdr:clientData/>
  </xdr:oneCellAnchor>
  <xdr:twoCellAnchor editAs="oneCell">
    <xdr:from>
      <xdr:col>8</xdr:col>
      <xdr:colOff>128836</xdr:colOff>
      <xdr:row>72</xdr:row>
      <xdr:rowOff>47005</xdr:rowOff>
    </xdr:from>
    <xdr:to>
      <xdr:col>11</xdr:col>
      <xdr:colOff>49287</xdr:colOff>
      <xdr:row>84</xdr:row>
      <xdr:rowOff>7697</xdr:rowOff>
    </xdr:to>
    <xdr:pic>
      <xdr:nvPicPr>
        <xdr:cNvPr id="2" name="Picture 1" descr="Mouth Wide Open Stickers for Sale | Redbubble">
          <a:extLst>
            <a:ext uri="{FF2B5EF4-FFF2-40B4-BE49-F238E27FC236}">
              <a16:creationId xmlns:a16="http://schemas.microsoft.com/office/drawing/2014/main" id="{B38634E4-1C36-76EA-11BE-39194998583F}"/>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547367834" y="13736066"/>
          <a:ext cx="2402724" cy="24083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201878</xdr:colOff>
      <xdr:row>107</xdr:row>
      <xdr:rowOff>113786</xdr:rowOff>
    </xdr:from>
    <xdr:to>
      <xdr:col>9</xdr:col>
      <xdr:colOff>590954</xdr:colOff>
      <xdr:row>107</xdr:row>
      <xdr:rowOff>128468</xdr:rowOff>
    </xdr:to>
    <xdr:cxnSp macro="">
      <xdr:nvCxnSpPr>
        <xdr:cNvPr id="4" name="Straight Arrow Connector 3">
          <a:extLst>
            <a:ext uri="{FF2B5EF4-FFF2-40B4-BE49-F238E27FC236}">
              <a16:creationId xmlns:a16="http://schemas.microsoft.com/office/drawing/2014/main" id="{0446F882-C45E-E431-F186-7722EA3FFA7D}"/>
            </a:ext>
          </a:extLst>
        </xdr:cNvPr>
        <xdr:cNvCxnSpPr/>
      </xdr:nvCxnSpPr>
      <xdr:spPr>
        <a:xfrm flipV="1">
          <a:off x="13522982023" y="15485925"/>
          <a:ext cx="7821879" cy="1468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8</xdr:col>
      <xdr:colOff>183527</xdr:colOff>
      <xdr:row>106</xdr:row>
      <xdr:rowOff>133755</xdr:rowOff>
    </xdr:from>
    <xdr:ext cx="1615477" cy="172227"/>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5E1FE371-DD9E-E144-D1F6-DD679C72815E}"/>
                </a:ext>
              </a:extLst>
            </xdr:cNvPr>
            <xdr:cNvSpPr txBox="1"/>
          </xdr:nvSpPr>
          <xdr:spPr>
            <a:xfrm>
              <a:off x="13522599840" y="15304015"/>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1.9.2018</m:t>
                    </m:r>
                  </m:oMath>
                </m:oMathPara>
              </a14:m>
              <a:endParaRPr lang="en-US" sz="1100"/>
            </a:p>
          </xdr:txBody>
        </xdr:sp>
      </mc:Choice>
      <mc:Fallback xmlns="">
        <xdr:sp macro="" textlink="">
          <xdr:nvSpPr>
            <xdr:cNvPr id="6" name="TextBox 5">
              <a:extLst>
                <a:ext uri="{FF2B5EF4-FFF2-40B4-BE49-F238E27FC236}">
                  <a16:creationId xmlns:a16="http://schemas.microsoft.com/office/drawing/2014/main" id="{5E1FE371-DD9E-E144-D1F6-DD679C72815E}"/>
                </a:ext>
              </a:extLst>
            </xdr:cNvPr>
            <xdr:cNvSpPr txBox="1"/>
          </xdr:nvSpPr>
          <xdr:spPr>
            <a:xfrm>
              <a:off x="13522599840" y="15304015"/>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1.9.2018</a:t>
              </a:r>
              <a:endParaRPr lang="en-US" sz="1100"/>
            </a:p>
          </xdr:txBody>
        </xdr:sp>
      </mc:Fallback>
    </mc:AlternateContent>
    <xdr:clientData/>
  </xdr:oneCellAnchor>
  <xdr:oneCellAnchor>
    <xdr:from>
      <xdr:col>6</xdr:col>
      <xdr:colOff>403757</xdr:colOff>
      <xdr:row>106</xdr:row>
      <xdr:rowOff>159445</xdr:rowOff>
    </xdr:from>
    <xdr:ext cx="1615477" cy="172227"/>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D48A05C7-AF8F-E1DE-4463-D6339D7C958B}"/>
                </a:ext>
              </a:extLst>
            </xdr:cNvPr>
            <xdr:cNvSpPr txBox="1"/>
          </xdr:nvSpPr>
          <xdr:spPr>
            <a:xfrm>
              <a:off x="13524031344" y="15329705"/>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1.9.2019</m:t>
                    </m:r>
                  </m:oMath>
                </m:oMathPara>
              </a14:m>
              <a:endParaRPr lang="en-US" sz="1100"/>
            </a:p>
          </xdr:txBody>
        </xdr:sp>
      </mc:Choice>
      <mc:Fallback xmlns="">
        <xdr:sp macro="" textlink="">
          <xdr:nvSpPr>
            <xdr:cNvPr id="7" name="TextBox 6">
              <a:extLst>
                <a:ext uri="{FF2B5EF4-FFF2-40B4-BE49-F238E27FC236}">
                  <a16:creationId xmlns:a16="http://schemas.microsoft.com/office/drawing/2014/main" id="{D48A05C7-AF8F-E1DE-4463-D6339D7C958B}"/>
                </a:ext>
              </a:extLst>
            </xdr:cNvPr>
            <xdr:cNvSpPr txBox="1"/>
          </xdr:nvSpPr>
          <xdr:spPr>
            <a:xfrm>
              <a:off x="13524031344" y="15329705"/>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1.9.2019</a:t>
              </a:r>
              <a:endParaRPr lang="en-US" sz="1100"/>
            </a:p>
          </xdr:txBody>
        </xdr:sp>
      </mc:Fallback>
    </mc:AlternateContent>
    <xdr:clientData/>
  </xdr:oneCellAnchor>
  <xdr:oneCellAnchor>
    <xdr:from>
      <xdr:col>4</xdr:col>
      <xdr:colOff>429452</xdr:colOff>
      <xdr:row>106</xdr:row>
      <xdr:rowOff>122744</xdr:rowOff>
    </xdr:from>
    <xdr:ext cx="1615477" cy="172227"/>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E300D02C-89C2-20F3-D7FF-91C626ED0498}"/>
                </a:ext>
              </a:extLst>
            </xdr:cNvPr>
            <xdr:cNvSpPr txBox="1"/>
          </xdr:nvSpPr>
          <xdr:spPr>
            <a:xfrm>
              <a:off x="13525657383" y="15293004"/>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1.9.2020</m:t>
                    </m:r>
                  </m:oMath>
                </m:oMathPara>
              </a14:m>
              <a:endParaRPr lang="en-US" sz="1100"/>
            </a:p>
          </xdr:txBody>
        </xdr:sp>
      </mc:Choice>
      <mc:Fallback xmlns="">
        <xdr:sp macro="" textlink="">
          <xdr:nvSpPr>
            <xdr:cNvPr id="8" name="TextBox 7">
              <a:extLst>
                <a:ext uri="{FF2B5EF4-FFF2-40B4-BE49-F238E27FC236}">
                  <a16:creationId xmlns:a16="http://schemas.microsoft.com/office/drawing/2014/main" id="{E300D02C-89C2-20F3-D7FF-91C626ED0498}"/>
                </a:ext>
              </a:extLst>
            </xdr:cNvPr>
            <xdr:cNvSpPr txBox="1"/>
          </xdr:nvSpPr>
          <xdr:spPr>
            <a:xfrm>
              <a:off x="13525657383" y="15293004"/>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1.9.2020</a:t>
              </a:r>
              <a:endParaRPr lang="en-US" sz="1100"/>
            </a:p>
          </xdr:txBody>
        </xdr:sp>
      </mc:Fallback>
    </mc:AlternateContent>
    <xdr:clientData/>
  </xdr:oneCellAnchor>
  <xdr:oneCellAnchor>
    <xdr:from>
      <xdr:col>2</xdr:col>
      <xdr:colOff>411099</xdr:colOff>
      <xdr:row>106</xdr:row>
      <xdr:rowOff>122742</xdr:rowOff>
    </xdr:from>
    <xdr:ext cx="1615477" cy="172227"/>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3AE8CFCA-05D2-FCB0-6CF6-29055AC236DE}"/>
                </a:ext>
              </a:extLst>
            </xdr:cNvPr>
            <xdr:cNvSpPr txBox="1"/>
          </xdr:nvSpPr>
          <xdr:spPr>
            <a:xfrm>
              <a:off x="13527327470" y="15293002"/>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1.9.2021</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3AE8CFCA-05D2-FCB0-6CF6-29055AC236DE}"/>
                </a:ext>
              </a:extLst>
            </xdr:cNvPr>
            <xdr:cNvSpPr txBox="1"/>
          </xdr:nvSpPr>
          <xdr:spPr>
            <a:xfrm>
              <a:off x="13527327470" y="15293002"/>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1.9.2021</a:t>
              </a:r>
              <a:endParaRPr lang="en-US" sz="1100"/>
            </a:p>
          </xdr:txBody>
        </xdr:sp>
      </mc:Fallback>
    </mc:AlternateContent>
    <xdr:clientData/>
  </xdr:oneCellAnchor>
  <xdr:oneCellAnchor>
    <xdr:from>
      <xdr:col>0</xdr:col>
      <xdr:colOff>341360</xdr:colOff>
      <xdr:row>106</xdr:row>
      <xdr:rowOff>126414</xdr:rowOff>
    </xdr:from>
    <xdr:ext cx="1615477" cy="172227"/>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849C6038-9050-BC44-6E7B-54F8B3C2754E}"/>
                </a:ext>
              </a:extLst>
            </xdr:cNvPr>
            <xdr:cNvSpPr txBox="1"/>
          </xdr:nvSpPr>
          <xdr:spPr>
            <a:xfrm>
              <a:off x="13529048943" y="15296674"/>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1.9.2022</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849C6038-9050-BC44-6E7B-54F8B3C2754E}"/>
                </a:ext>
              </a:extLst>
            </xdr:cNvPr>
            <xdr:cNvSpPr txBox="1"/>
          </xdr:nvSpPr>
          <xdr:spPr>
            <a:xfrm>
              <a:off x="13529048943" y="15296674"/>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1.9.2022</a:t>
              </a:r>
              <a:endParaRPr lang="en-US" sz="1100"/>
            </a:p>
          </xdr:txBody>
        </xdr:sp>
      </mc:Fallback>
    </mc:AlternateContent>
    <xdr:clientData/>
  </xdr:oneCellAnchor>
  <xdr:twoCellAnchor>
    <xdr:from>
      <xdr:col>7</xdr:col>
      <xdr:colOff>341358</xdr:colOff>
      <xdr:row>105</xdr:row>
      <xdr:rowOff>152326</xdr:rowOff>
    </xdr:from>
    <xdr:to>
      <xdr:col>9</xdr:col>
      <xdr:colOff>155998</xdr:colOff>
      <xdr:row>106</xdr:row>
      <xdr:rowOff>91763</xdr:rowOff>
    </xdr:to>
    <xdr:sp macro="" textlink="">
      <xdr:nvSpPr>
        <xdr:cNvPr id="25" name="Right Bracket 24">
          <a:extLst>
            <a:ext uri="{FF2B5EF4-FFF2-40B4-BE49-F238E27FC236}">
              <a16:creationId xmlns:a16="http://schemas.microsoft.com/office/drawing/2014/main" id="{DF3E5B0B-6FD6-DEA6-CB68-5D66DA1F1ADF}"/>
            </a:ext>
          </a:extLst>
        </xdr:cNvPr>
        <xdr:cNvSpPr/>
      </xdr:nvSpPr>
      <xdr:spPr>
        <a:xfrm rot="16200000">
          <a:off x="13524079508" y="14458179"/>
          <a:ext cx="141315" cy="1466374"/>
        </a:xfrm>
        <a:prstGeom prst="rightBracket">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7</xdr:col>
      <xdr:colOff>253714</xdr:colOff>
      <xdr:row>104</xdr:row>
      <xdr:rowOff>155774</xdr:rowOff>
    </xdr:from>
    <xdr:ext cx="1615477" cy="172227"/>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3DFE0024-125B-2640-99C6-0061FF9A7C77}"/>
                </a:ext>
              </a:extLst>
            </xdr:cNvPr>
            <xdr:cNvSpPr txBox="1"/>
          </xdr:nvSpPr>
          <xdr:spPr>
            <a:xfrm>
              <a:off x="13523355520" y="14922277"/>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m:t>
                    </m:r>
                  </m:oMath>
                </m:oMathPara>
              </a14:m>
              <a:endParaRPr lang="en-US" sz="1100"/>
            </a:p>
          </xdr:txBody>
        </xdr:sp>
      </mc:Choice>
      <mc:Fallback xmlns="">
        <xdr:sp macro="" textlink="">
          <xdr:nvSpPr>
            <xdr:cNvPr id="27" name="TextBox 26">
              <a:extLst>
                <a:ext uri="{FF2B5EF4-FFF2-40B4-BE49-F238E27FC236}">
                  <a16:creationId xmlns:a16="http://schemas.microsoft.com/office/drawing/2014/main" id="{3DFE0024-125B-2640-99C6-0061FF9A7C77}"/>
                </a:ext>
              </a:extLst>
            </xdr:cNvPr>
            <xdr:cNvSpPr txBox="1"/>
          </xdr:nvSpPr>
          <xdr:spPr>
            <a:xfrm>
              <a:off x="13523355520" y="14922277"/>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a:t>
              </a:r>
              <a:endParaRPr lang="en-US" sz="1100"/>
            </a:p>
          </xdr:txBody>
        </xdr:sp>
      </mc:Fallback>
    </mc:AlternateContent>
    <xdr:clientData/>
  </xdr:oneCellAnchor>
  <xdr:twoCellAnchor>
    <xdr:from>
      <xdr:col>5</xdr:col>
      <xdr:colOff>480837</xdr:colOff>
      <xdr:row>105</xdr:row>
      <xdr:rowOff>155996</xdr:rowOff>
    </xdr:from>
    <xdr:to>
      <xdr:col>7</xdr:col>
      <xdr:colOff>295477</xdr:colOff>
      <xdr:row>106</xdr:row>
      <xdr:rowOff>95433</xdr:rowOff>
    </xdr:to>
    <xdr:sp macro="" textlink="">
      <xdr:nvSpPr>
        <xdr:cNvPr id="28" name="Right Bracket 27">
          <a:extLst>
            <a:ext uri="{FF2B5EF4-FFF2-40B4-BE49-F238E27FC236}">
              <a16:creationId xmlns:a16="http://schemas.microsoft.com/office/drawing/2014/main" id="{2D28854B-D5BD-ECBC-31E0-DF43590510E4}"/>
            </a:ext>
          </a:extLst>
        </xdr:cNvPr>
        <xdr:cNvSpPr/>
      </xdr:nvSpPr>
      <xdr:spPr>
        <a:xfrm rot="16200000">
          <a:off x="13525591763" y="14461849"/>
          <a:ext cx="141315" cy="1466374"/>
        </a:xfrm>
        <a:prstGeom prst="rightBracket">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5</xdr:col>
      <xdr:colOff>422558</xdr:colOff>
      <xdr:row>104</xdr:row>
      <xdr:rowOff>137421</xdr:rowOff>
    </xdr:from>
    <xdr:ext cx="1615477" cy="172227"/>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4D9B9DA7-74B6-D296-BF91-B1693DACB023}"/>
                </a:ext>
              </a:extLst>
            </xdr:cNvPr>
            <xdr:cNvSpPr txBox="1"/>
          </xdr:nvSpPr>
          <xdr:spPr>
            <a:xfrm>
              <a:off x="13524838410" y="14903924"/>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19</m:t>
                    </m:r>
                  </m:oMath>
                </m:oMathPara>
              </a14:m>
              <a:endParaRPr lang="en-US" sz="1100"/>
            </a:p>
          </xdr:txBody>
        </xdr:sp>
      </mc:Choice>
      <mc:Fallback xmlns="">
        <xdr:sp macro="" textlink="">
          <xdr:nvSpPr>
            <xdr:cNvPr id="30" name="TextBox 29">
              <a:extLst>
                <a:ext uri="{FF2B5EF4-FFF2-40B4-BE49-F238E27FC236}">
                  <a16:creationId xmlns:a16="http://schemas.microsoft.com/office/drawing/2014/main" id="{4D9B9DA7-74B6-D296-BF91-B1693DACB023}"/>
                </a:ext>
              </a:extLst>
            </xdr:cNvPr>
            <xdr:cNvSpPr txBox="1"/>
          </xdr:nvSpPr>
          <xdr:spPr>
            <a:xfrm>
              <a:off x="13524838410" y="14903924"/>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19</a:t>
              </a:r>
              <a:endParaRPr lang="en-US" sz="1100"/>
            </a:p>
          </xdr:txBody>
        </xdr:sp>
      </mc:Fallback>
    </mc:AlternateContent>
    <xdr:clientData/>
  </xdr:oneCellAnchor>
  <xdr:twoCellAnchor>
    <xdr:from>
      <xdr:col>3</xdr:col>
      <xdr:colOff>539564</xdr:colOff>
      <xdr:row>105</xdr:row>
      <xdr:rowOff>141314</xdr:rowOff>
    </xdr:from>
    <xdr:to>
      <xdr:col>5</xdr:col>
      <xdr:colOff>354204</xdr:colOff>
      <xdr:row>106</xdr:row>
      <xdr:rowOff>80751</xdr:rowOff>
    </xdr:to>
    <xdr:sp macro="" textlink="">
      <xdr:nvSpPr>
        <xdr:cNvPr id="31" name="Right Bracket 30">
          <a:extLst>
            <a:ext uri="{FF2B5EF4-FFF2-40B4-BE49-F238E27FC236}">
              <a16:creationId xmlns:a16="http://schemas.microsoft.com/office/drawing/2014/main" id="{3F2CC9F2-7694-98DB-6B46-B2336C3E3241}"/>
            </a:ext>
          </a:extLst>
        </xdr:cNvPr>
        <xdr:cNvSpPr/>
      </xdr:nvSpPr>
      <xdr:spPr>
        <a:xfrm rot="16200000">
          <a:off x="13527184770" y="14447167"/>
          <a:ext cx="141315" cy="1466374"/>
        </a:xfrm>
        <a:prstGeom prst="rightBracket">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381731</xdr:colOff>
      <xdr:row>105</xdr:row>
      <xdr:rowOff>130303</xdr:rowOff>
    </xdr:from>
    <xdr:to>
      <xdr:col>3</xdr:col>
      <xdr:colOff>368885</xdr:colOff>
      <xdr:row>106</xdr:row>
      <xdr:rowOff>33034</xdr:rowOff>
    </xdr:to>
    <xdr:sp macro="" textlink="">
      <xdr:nvSpPr>
        <xdr:cNvPr id="35" name="Right Bracket 34">
          <a:extLst>
            <a:ext uri="{FF2B5EF4-FFF2-40B4-BE49-F238E27FC236}">
              <a16:creationId xmlns:a16="http://schemas.microsoft.com/office/drawing/2014/main" id="{CEBA50B3-8107-09DE-2C62-751336C3EC0A}"/>
            </a:ext>
          </a:extLst>
        </xdr:cNvPr>
        <xdr:cNvSpPr/>
      </xdr:nvSpPr>
      <xdr:spPr>
        <a:xfrm rot="16200000">
          <a:off x="13528926433" y="14331546"/>
          <a:ext cx="104609" cy="1638888"/>
        </a:xfrm>
        <a:prstGeom prst="rightBracket">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3</xdr:col>
      <xdr:colOff>488627</xdr:colOff>
      <xdr:row>104</xdr:row>
      <xdr:rowOff>126410</xdr:rowOff>
    </xdr:from>
    <xdr:ext cx="1615477" cy="172227"/>
    <mc:AlternateContent xmlns:mc="http://schemas.openxmlformats.org/markup-compatibility/2006" xmlns:a14="http://schemas.microsoft.com/office/drawing/2010/main">
      <mc:Choice Requires="a14">
        <xdr:sp macro="" textlink="">
          <xdr:nvSpPr>
            <xdr:cNvPr id="38" name="TextBox 37">
              <a:extLst>
                <a:ext uri="{FF2B5EF4-FFF2-40B4-BE49-F238E27FC236}">
                  <a16:creationId xmlns:a16="http://schemas.microsoft.com/office/drawing/2014/main" id="{57C1F037-A38C-835B-7A1F-DDD2417CDD10}"/>
                </a:ext>
              </a:extLst>
            </xdr:cNvPr>
            <xdr:cNvSpPr txBox="1"/>
          </xdr:nvSpPr>
          <xdr:spPr>
            <a:xfrm>
              <a:off x="13526424075" y="14892913"/>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18</m:t>
                    </m:r>
                  </m:oMath>
                </m:oMathPara>
              </a14:m>
              <a:endParaRPr lang="en-US" sz="1100"/>
            </a:p>
          </xdr:txBody>
        </xdr:sp>
      </mc:Choice>
      <mc:Fallback xmlns="">
        <xdr:sp macro="" textlink="">
          <xdr:nvSpPr>
            <xdr:cNvPr id="38" name="TextBox 37">
              <a:extLst>
                <a:ext uri="{FF2B5EF4-FFF2-40B4-BE49-F238E27FC236}">
                  <a16:creationId xmlns:a16="http://schemas.microsoft.com/office/drawing/2014/main" id="{57C1F037-A38C-835B-7A1F-DDD2417CDD10}"/>
                </a:ext>
              </a:extLst>
            </xdr:cNvPr>
            <xdr:cNvSpPr txBox="1"/>
          </xdr:nvSpPr>
          <xdr:spPr>
            <a:xfrm>
              <a:off x="13526424075" y="14892913"/>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18</a:t>
              </a:r>
              <a:endParaRPr lang="en-US" sz="1100"/>
            </a:p>
          </xdr:txBody>
        </xdr:sp>
      </mc:Fallback>
    </mc:AlternateContent>
    <xdr:clientData/>
  </xdr:oneCellAnchor>
  <xdr:oneCellAnchor>
    <xdr:from>
      <xdr:col>1</xdr:col>
      <xdr:colOff>440910</xdr:colOff>
      <xdr:row>104</xdr:row>
      <xdr:rowOff>130081</xdr:rowOff>
    </xdr:from>
    <xdr:ext cx="1615477" cy="172227"/>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B5818AAE-DEEC-CB91-BD6A-B50286C6F044}"/>
                </a:ext>
              </a:extLst>
            </xdr:cNvPr>
            <xdr:cNvSpPr txBox="1"/>
          </xdr:nvSpPr>
          <xdr:spPr>
            <a:xfrm>
              <a:off x="13528123526" y="14896584"/>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17</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B5818AAE-DEEC-CB91-BD6A-B50286C6F044}"/>
                </a:ext>
              </a:extLst>
            </xdr:cNvPr>
            <xdr:cNvSpPr txBox="1"/>
          </xdr:nvSpPr>
          <xdr:spPr>
            <a:xfrm>
              <a:off x="13528123526" y="14896584"/>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17</a:t>
              </a:r>
              <a:endParaRPr lang="en-US" sz="1100"/>
            </a:p>
          </xdr:txBody>
        </xdr:sp>
      </mc:Fallback>
    </mc:AlternateContent>
    <xdr:clientData/>
  </xdr:oneCellAnchor>
  <xdr:oneCellAnchor>
    <xdr:from>
      <xdr:col>7</xdr:col>
      <xdr:colOff>297312</xdr:colOff>
      <xdr:row>106</xdr:row>
      <xdr:rowOff>181468</xdr:rowOff>
    </xdr:from>
    <xdr:ext cx="1615477" cy="125227"/>
    <mc:AlternateContent xmlns:mc="http://schemas.openxmlformats.org/markup-compatibility/2006" xmlns:a14="http://schemas.microsoft.com/office/drawing/2010/main">
      <mc:Choice Requires="a14">
        <xdr:sp macro="" textlink="">
          <xdr:nvSpPr>
            <xdr:cNvPr id="42" name="TextBox 41">
              <a:extLst>
                <a:ext uri="{FF2B5EF4-FFF2-40B4-BE49-F238E27FC236}">
                  <a16:creationId xmlns:a16="http://schemas.microsoft.com/office/drawing/2014/main" id="{DF92AE42-1066-0005-E2A2-8CCA748D134E}"/>
                </a:ext>
              </a:extLst>
            </xdr:cNvPr>
            <xdr:cNvSpPr txBox="1"/>
          </xdr:nvSpPr>
          <xdr:spPr>
            <a:xfrm>
              <a:off x="13523311922" y="15351728"/>
              <a:ext cx="1615477"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800" b="1" i="1">
                        <a:solidFill>
                          <a:srgbClr val="FF0000"/>
                        </a:solidFill>
                        <a:latin typeface="Cambria Math" panose="02040503050406030204" pitchFamily="18" charset="0"/>
                      </a:rPr>
                      <m:t>𝟑𝟏</m:t>
                    </m:r>
                    <m:r>
                      <a:rPr lang="he-IL" sz="800" b="1" i="1">
                        <a:solidFill>
                          <a:srgbClr val="FF0000"/>
                        </a:solidFill>
                        <a:latin typeface="Cambria Math" panose="02040503050406030204" pitchFamily="18" charset="0"/>
                      </a:rPr>
                      <m:t>.</m:t>
                    </m:r>
                    <m:r>
                      <a:rPr lang="he-IL" sz="800" b="1" i="1">
                        <a:solidFill>
                          <a:srgbClr val="FF0000"/>
                        </a:solidFill>
                        <a:latin typeface="Cambria Math" panose="02040503050406030204" pitchFamily="18" charset="0"/>
                      </a:rPr>
                      <m:t>𝟏𝟐</m:t>
                    </m:r>
                    <m:r>
                      <a:rPr lang="he-IL" sz="800" b="1" i="1">
                        <a:solidFill>
                          <a:srgbClr val="FF0000"/>
                        </a:solidFill>
                        <a:latin typeface="Cambria Math" panose="02040503050406030204" pitchFamily="18" charset="0"/>
                      </a:rPr>
                      <m:t>.</m:t>
                    </m:r>
                    <m:r>
                      <a:rPr lang="he-IL" sz="800" b="1" i="1">
                        <a:solidFill>
                          <a:srgbClr val="FF0000"/>
                        </a:solidFill>
                        <a:latin typeface="Cambria Math" panose="02040503050406030204" pitchFamily="18" charset="0"/>
                      </a:rPr>
                      <m:t>𝟐𝟎𝟏𝟖</m:t>
                    </m:r>
                  </m:oMath>
                </m:oMathPara>
              </a14:m>
              <a:endParaRPr lang="en-US" sz="800" b="1">
                <a:solidFill>
                  <a:srgbClr val="FF0000"/>
                </a:solidFill>
              </a:endParaRPr>
            </a:p>
          </xdr:txBody>
        </xdr:sp>
      </mc:Choice>
      <mc:Fallback xmlns="">
        <xdr:sp macro="" textlink="">
          <xdr:nvSpPr>
            <xdr:cNvPr id="42" name="TextBox 41">
              <a:extLst>
                <a:ext uri="{FF2B5EF4-FFF2-40B4-BE49-F238E27FC236}">
                  <a16:creationId xmlns:a16="http://schemas.microsoft.com/office/drawing/2014/main" id="{DF92AE42-1066-0005-E2A2-8CCA748D134E}"/>
                </a:ext>
              </a:extLst>
            </xdr:cNvPr>
            <xdr:cNvSpPr txBox="1"/>
          </xdr:nvSpPr>
          <xdr:spPr>
            <a:xfrm>
              <a:off x="13523311922" y="15351728"/>
              <a:ext cx="1615477"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800" b="1" i="0">
                  <a:solidFill>
                    <a:srgbClr val="FF0000"/>
                  </a:solidFill>
                  <a:latin typeface="Cambria Math" panose="02040503050406030204" pitchFamily="18" charset="0"/>
                </a:rPr>
                <a:t>𝟑𝟏.𝟏𝟐.𝟐𝟎𝟏𝟖</a:t>
              </a:r>
              <a:endParaRPr lang="en-US" sz="800" b="1">
                <a:solidFill>
                  <a:srgbClr val="FF0000"/>
                </a:solidFill>
              </a:endParaRPr>
            </a:p>
          </xdr:txBody>
        </xdr:sp>
      </mc:Fallback>
    </mc:AlternateContent>
    <xdr:clientData/>
  </xdr:oneCellAnchor>
  <xdr:oneCellAnchor>
    <xdr:from>
      <xdr:col>5</xdr:col>
      <xdr:colOff>400086</xdr:colOff>
      <xdr:row>106</xdr:row>
      <xdr:rowOff>181468</xdr:rowOff>
    </xdr:from>
    <xdr:ext cx="1615477" cy="125227"/>
    <mc:AlternateContent xmlns:mc="http://schemas.openxmlformats.org/markup-compatibility/2006" xmlns:a14="http://schemas.microsoft.com/office/drawing/2010/main">
      <mc:Choice Requires="a14">
        <xdr:sp macro="" textlink="">
          <xdr:nvSpPr>
            <xdr:cNvPr id="47" name="TextBox 46">
              <a:extLst>
                <a:ext uri="{FF2B5EF4-FFF2-40B4-BE49-F238E27FC236}">
                  <a16:creationId xmlns:a16="http://schemas.microsoft.com/office/drawing/2014/main" id="{440343AC-C160-6604-317B-1CB1D10B3C6C}"/>
                </a:ext>
              </a:extLst>
            </xdr:cNvPr>
            <xdr:cNvSpPr txBox="1"/>
          </xdr:nvSpPr>
          <xdr:spPr>
            <a:xfrm>
              <a:off x="13524860882" y="15351728"/>
              <a:ext cx="1615477"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800" b="1" i="1">
                        <a:solidFill>
                          <a:srgbClr val="FF0000"/>
                        </a:solidFill>
                        <a:latin typeface="Cambria Math" panose="02040503050406030204" pitchFamily="18" charset="0"/>
                      </a:rPr>
                      <m:t>𝟑𝟏</m:t>
                    </m:r>
                    <m:r>
                      <a:rPr lang="he-IL" sz="800" b="1" i="1">
                        <a:solidFill>
                          <a:srgbClr val="FF0000"/>
                        </a:solidFill>
                        <a:latin typeface="Cambria Math" panose="02040503050406030204" pitchFamily="18" charset="0"/>
                      </a:rPr>
                      <m:t>.</m:t>
                    </m:r>
                    <m:r>
                      <a:rPr lang="he-IL" sz="800" b="1" i="1">
                        <a:solidFill>
                          <a:srgbClr val="FF0000"/>
                        </a:solidFill>
                        <a:latin typeface="Cambria Math" panose="02040503050406030204" pitchFamily="18" charset="0"/>
                      </a:rPr>
                      <m:t>𝟏𝟐</m:t>
                    </m:r>
                    <m:r>
                      <a:rPr lang="he-IL" sz="800" b="1" i="1">
                        <a:solidFill>
                          <a:srgbClr val="FF0000"/>
                        </a:solidFill>
                        <a:latin typeface="Cambria Math" panose="02040503050406030204" pitchFamily="18" charset="0"/>
                      </a:rPr>
                      <m:t>.</m:t>
                    </m:r>
                    <m:r>
                      <a:rPr lang="he-IL" sz="800" b="1" i="1">
                        <a:solidFill>
                          <a:srgbClr val="FF0000"/>
                        </a:solidFill>
                        <a:latin typeface="Cambria Math" panose="02040503050406030204" pitchFamily="18" charset="0"/>
                      </a:rPr>
                      <m:t>𝟐𝟎𝟏𝟗</m:t>
                    </m:r>
                  </m:oMath>
                </m:oMathPara>
              </a14:m>
              <a:endParaRPr lang="en-US" sz="800" b="1">
                <a:solidFill>
                  <a:srgbClr val="FF0000"/>
                </a:solidFill>
              </a:endParaRPr>
            </a:p>
          </xdr:txBody>
        </xdr:sp>
      </mc:Choice>
      <mc:Fallback xmlns="">
        <xdr:sp macro="" textlink="">
          <xdr:nvSpPr>
            <xdr:cNvPr id="47" name="TextBox 46">
              <a:extLst>
                <a:ext uri="{FF2B5EF4-FFF2-40B4-BE49-F238E27FC236}">
                  <a16:creationId xmlns:a16="http://schemas.microsoft.com/office/drawing/2014/main" id="{440343AC-C160-6604-317B-1CB1D10B3C6C}"/>
                </a:ext>
              </a:extLst>
            </xdr:cNvPr>
            <xdr:cNvSpPr txBox="1"/>
          </xdr:nvSpPr>
          <xdr:spPr>
            <a:xfrm>
              <a:off x="13524860882" y="15351728"/>
              <a:ext cx="1615477"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800" b="1" i="0">
                  <a:solidFill>
                    <a:srgbClr val="FF0000"/>
                  </a:solidFill>
                  <a:latin typeface="Cambria Math" panose="02040503050406030204" pitchFamily="18" charset="0"/>
                </a:rPr>
                <a:t>𝟑𝟏.𝟏𝟐.𝟐𝟎𝟏𝟗</a:t>
              </a:r>
              <a:endParaRPr lang="en-US" sz="800" b="1">
                <a:solidFill>
                  <a:srgbClr val="FF0000"/>
                </a:solidFill>
              </a:endParaRPr>
            </a:p>
          </xdr:txBody>
        </xdr:sp>
      </mc:Fallback>
    </mc:AlternateContent>
    <xdr:clientData/>
  </xdr:oneCellAnchor>
  <xdr:oneCellAnchor>
    <xdr:from>
      <xdr:col>3</xdr:col>
      <xdr:colOff>418438</xdr:colOff>
      <xdr:row>106</xdr:row>
      <xdr:rowOff>163115</xdr:rowOff>
    </xdr:from>
    <xdr:ext cx="1615477" cy="125227"/>
    <mc:AlternateContent xmlns:mc="http://schemas.openxmlformats.org/markup-compatibility/2006" xmlns:a14="http://schemas.microsoft.com/office/drawing/2010/main">
      <mc:Choice Requires="a14">
        <xdr:sp macro="" textlink="">
          <xdr:nvSpPr>
            <xdr:cNvPr id="48" name="TextBox 47">
              <a:extLst>
                <a:ext uri="{FF2B5EF4-FFF2-40B4-BE49-F238E27FC236}">
                  <a16:creationId xmlns:a16="http://schemas.microsoft.com/office/drawing/2014/main" id="{3FA91042-26C6-DED7-6FA2-F986E81D11BF}"/>
                </a:ext>
              </a:extLst>
            </xdr:cNvPr>
            <xdr:cNvSpPr txBox="1"/>
          </xdr:nvSpPr>
          <xdr:spPr>
            <a:xfrm>
              <a:off x="13526494264" y="15333375"/>
              <a:ext cx="1615477"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800" b="1" i="1">
                        <a:solidFill>
                          <a:srgbClr val="FF0000"/>
                        </a:solidFill>
                        <a:latin typeface="Cambria Math" panose="02040503050406030204" pitchFamily="18" charset="0"/>
                      </a:rPr>
                      <m:t>𝟑𝟏</m:t>
                    </m:r>
                    <m:r>
                      <a:rPr lang="he-IL" sz="800" b="1" i="1">
                        <a:solidFill>
                          <a:srgbClr val="FF0000"/>
                        </a:solidFill>
                        <a:latin typeface="Cambria Math" panose="02040503050406030204" pitchFamily="18" charset="0"/>
                      </a:rPr>
                      <m:t>.</m:t>
                    </m:r>
                    <m:r>
                      <a:rPr lang="he-IL" sz="800" b="1" i="1">
                        <a:solidFill>
                          <a:srgbClr val="FF0000"/>
                        </a:solidFill>
                        <a:latin typeface="Cambria Math" panose="02040503050406030204" pitchFamily="18" charset="0"/>
                      </a:rPr>
                      <m:t>𝟏𝟐</m:t>
                    </m:r>
                    <m:r>
                      <a:rPr lang="he-IL" sz="800" b="1" i="1">
                        <a:solidFill>
                          <a:srgbClr val="FF0000"/>
                        </a:solidFill>
                        <a:latin typeface="Cambria Math" panose="02040503050406030204" pitchFamily="18" charset="0"/>
                      </a:rPr>
                      <m:t>.</m:t>
                    </m:r>
                    <m:r>
                      <a:rPr lang="he-IL" sz="800" b="1" i="1">
                        <a:solidFill>
                          <a:srgbClr val="FF0000"/>
                        </a:solidFill>
                        <a:latin typeface="Cambria Math" panose="02040503050406030204" pitchFamily="18" charset="0"/>
                      </a:rPr>
                      <m:t>𝟐𝟎𝟐𝟎</m:t>
                    </m:r>
                  </m:oMath>
                </m:oMathPara>
              </a14:m>
              <a:endParaRPr lang="en-US" sz="800" b="1">
                <a:solidFill>
                  <a:srgbClr val="FF0000"/>
                </a:solidFill>
              </a:endParaRPr>
            </a:p>
          </xdr:txBody>
        </xdr:sp>
      </mc:Choice>
      <mc:Fallback xmlns="">
        <xdr:sp macro="" textlink="">
          <xdr:nvSpPr>
            <xdr:cNvPr id="48" name="TextBox 47">
              <a:extLst>
                <a:ext uri="{FF2B5EF4-FFF2-40B4-BE49-F238E27FC236}">
                  <a16:creationId xmlns:a16="http://schemas.microsoft.com/office/drawing/2014/main" id="{3FA91042-26C6-DED7-6FA2-F986E81D11BF}"/>
                </a:ext>
              </a:extLst>
            </xdr:cNvPr>
            <xdr:cNvSpPr txBox="1"/>
          </xdr:nvSpPr>
          <xdr:spPr>
            <a:xfrm>
              <a:off x="13526494264" y="15333375"/>
              <a:ext cx="1615477"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800" b="1" i="0">
                  <a:solidFill>
                    <a:srgbClr val="FF0000"/>
                  </a:solidFill>
                  <a:latin typeface="Cambria Math" panose="02040503050406030204" pitchFamily="18" charset="0"/>
                </a:rPr>
                <a:t>𝟑𝟏.𝟏𝟐.𝟐𝟎𝟐𝟎</a:t>
              </a:r>
              <a:endParaRPr lang="en-US" sz="800" b="1">
                <a:solidFill>
                  <a:srgbClr val="FF0000"/>
                </a:solidFill>
              </a:endParaRPr>
            </a:p>
          </xdr:txBody>
        </xdr:sp>
      </mc:Fallback>
    </mc:AlternateContent>
    <xdr:clientData/>
  </xdr:oneCellAnchor>
  <xdr:oneCellAnchor>
    <xdr:from>
      <xdr:col>1</xdr:col>
      <xdr:colOff>414767</xdr:colOff>
      <xdr:row>106</xdr:row>
      <xdr:rowOff>155774</xdr:rowOff>
    </xdr:from>
    <xdr:ext cx="1615477" cy="125227"/>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5F3E1BF5-7803-3EBF-75DF-F507AE156566}"/>
                </a:ext>
              </a:extLst>
            </xdr:cNvPr>
            <xdr:cNvSpPr txBox="1"/>
          </xdr:nvSpPr>
          <xdr:spPr>
            <a:xfrm>
              <a:off x="13528149669" y="15326034"/>
              <a:ext cx="1615477"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800" b="1" i="1">
                        <a:solidFill>
                          <a:srgbClr val="FF0000"/>
                        </a:solidFill>
                        <a:latin typeface="Cambria Math" panose="02040503050406030204" pitchFamily="18" charset="0"/>
                      </a:rPr>
                      <m:t>𝟑𝟏</m:t>
                    </m:r>
                    <m:r>
                      <a:rPr lang="he-IL" sz="800" b="1" i="1">
                        <a:solidFill>
                          <a:srgbClr val="FF0000"/>
                        </a:solidFill>
                        <a:latin typeface="Cambria Math" panose="02040503050406030204" pitchFamily="18" charset="0"/>
                      </a:rPr>
                      <m:t>.</m:t>
                    </m:r>
                    <m:r>
                      <a:rPr lang="he-IL" sz="800" b="1" i="1">
                        <a:solidFill>
                          <a:srgbClr val="FF0000"/>
                        </a:solidFill>
                        <a:latin typeface="Cambria Math" panose="02040503050406030204" pitchFamily="18" charset="0"/>
                      </a:rPr>
                      <m:t>𝟏𝟐</m:t>
                    </m:r>
                    <m:r>
                      <a:rPr lang="he-IL" sz="800" b="1" i="1">
                        <a:solidFill>
                          <a:srgbClr val="FF0000"/>
                        </a:solidFill>
                        <a:latin typeface="Cambria Math" panose="02040503050406030204" pitchFamily="18" charset="0"/>
                      </a:rPr>
                      <m:t>.</m:t>
                    </m:r>
                    <m:r>
                      <a:rPr lang="he-IL" sz="800" b="1" i="1">
                        <a:solidFill>
                          <a:srgbClr val="FF0000"/>
                        </a:solidFill>
                        <a:latin typeface="Cambria Math" panose="02040503050406030204" pitchFamily="18" charset="0"/>
                      </a:rPr>
                      <m:t>𝟐𝟎𝟐𝟏</m:t>
                    </m:r>
                  </m:oMath>
                </m:oMathPara>
              </a14:m>
              <a:endParaRPr lang="en-US" sz="800" b="1">
                <a:solidFill>
                  <a:srgbClr val="FF0000"/>
                </a:solidFill>
              </a:endParaRPr>
            </a:p>
          </xdr:txBody>
        </xdr:sp>
      </mc:Choice>
      <mc:Fallback xmlns="">
        <xdr:sp macro="" textlink="">
          <xdr:nvSpPr>
            <xdr:cNvPr id="49" name="TextBox 48">
              <a:extLst>
                <a:ext uri="{FF2B5EF4-FFF2-40B4-BE49-F238E27FC236}">
                  <a16:creationId xmlns:a16="http://schemas.microsoft.com/office/drawing/2014/main" id="{5F3E1BF5-7803-3EBF-75DF-F507AE156566}"/>
                </a:ext>
              </a:extLst>
            </xdr:cNvPr>
            <xdr:cNvSpPr txBox="1"/>
          </xdr:nvSpPr>
          <xdr:spPr>
            <a:xfrm>
              <a:off x="13528149669" y="15326034"/>
              <a:ext cx="1615477"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800" b="1" i="0">
                  <a:solidFill>
                    <a:srgbClr val="FF0000"/>
                  </a:solidFill>
                  <a:latin typeface="Cambria Math" panose="02040503050406030204" pitchFamily="18" charset="0"/>
                </a:rPr>
                <a:t>𝟑𝟏.𝟏𝟐.𝟐𝟎𝟐𝟏</a:t>
              </a:r>
              <a:endParaRPr lang="en-US" sz="800" b="1">
                <a:solidFill>
                  <a:srgbClr val="FF0000"/>
                </a:solidFill>
              </a:endParaRPr>
            </a:p>
          </xdr:txBody>
        </xdr:sp>
      </mc:Fallback>
    </mc:AlternateContent>
    <xdr:clientData/>
  </xdr:oneCellAnchor>
  <xdr:twoCellAnchor>
    <xdr:from>
      <xdr:col>8</xdr:col>
      <xdr:colOff>304653</xdr:colOff>
      <xdr:row>107</xdr:row>
      <xdr:rowOff>178021</xdr:rowOff>
    </xdr:from>
    <xdr:to>
      <xdr:col>9</xdr:col>
      <xdr:colOff>163339</xdr:colOff>
      <xdr:row>108</xdr:row>
      <xdr:rowOff>66070</xdr:rowOff>
    </xdr:to>
    <xdr:sp macro="" textlink="">
      <xdr:nvSpPr>
        <xdr:cNvPr id="50" name="Right Bracket 49">
          <a:extLst>
            <a:ext uri="{FF2B5EF4-FFF2-40B4-BE49-F238E27FC236}">
              <a16:creationId xmlns:a16="http://schemas.microsoft.com/office/drawing/2014/main" id="{CFA0572A-9C21-5AD4-EBC8-914D98733DF9}"/>
            </a:ext>
          </a:extLst>
        </xdr:cNvPr>
        <xdr:cNvSpPr/>
      </xdr:nvSpPr>
      <xdr:spPr>
        <a:xfrm rot="5400000">
          <a:off x="13523706951" y="15050968"/>
          <a:ext cx="89928" cy="684553"/>
        </a:xfrm>
        <a:prstGeom prst="rightBracket">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7</xdr:col>
      <xdr:colOff>679047</xdr:colOff>
      <xdr:row>108</xdr:row>
      <xdr:rowOff>148438</xdr:rowOff>
    </xdr:from>
    <xdr:ext cx="1615477" cy="201337"/>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51988738-9828-E9EA-7FF4-4A8A63E157EA}"/>
                </a:ext>
              </a:extLst>
            </xdr:cNvPr>
            <xdr:cNvSpPr txBox="1"/>
          </xdr:nvSpPr>
          <xdr:spPr>
            <a:xfrm>
              <a:off x="13522930187" y="15520577"/>
              <a:ext cx="1615477" cy="2013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700" b="0" i="1">
                            <a:latin typeface="Cambria Math" panose="02040503050406030204" pitchFamily="18" charset="0"/>
                          </a:rPr>
                        </m:ctrlPr>
                      </m:fPr>
                      <m:num>
                        <m:r>
                          <a:rPr lang="en-US" sz="700" b="0" i="1">
                            <a:latin typeface="Cambria Math" panose="02040503050406030204" pitchFamily="18" charset="0"/>
                          </a:rPr>
                          <m:t>4</m:t>
                        </m:r>
                      </m:num>
                      <m:den>
                        <m:r>
                          <a:rPr lang="en-US" sz="700" b="0" i="1">
                            <a:latin typeface="Cambria Math" panose="02040503050406030204" pitchFamily="18" charset="0"/>
                          </a:rPr>
                          <m:t>12</m:t>
                        </m:r>
                      </m:den>
                    </m:f>
                  </m:oMath>
                </m:oMathPara>
              </a14:m>
              <a:endParaRPr lang="en-US" sz="1100"/>
            </a:p>
          </xdr:txBody>
        </xdr:sp>
      </mc:Choice>
      <mc:Fallback xmlns="">
        <xdr:sp macro="" textlink="">
          <xdr:nvSpPr>
            <xdr:cNvPr id="51" name="TextBox 50">
              <a:extLst>
                <a:ext uri="{FF2B5EF4-FFF2-40B4-BE49-F238E27FC236}">
                  <a16:creationId xmlns:a16="http://schemas.microsoft.com/office/drawing/2014/main" id="{51988738-9828-E9EA-7FF4-4A8A63E157EA}"/>
                </a:ext>
              </a:extLst>
            </xdr:cNvPr>
            <xdr:cNvSpPr txBox="1"/>
          </xdr:nvSpPr>
          <xdr:spPr>
            <a:xfrm>
              <a:off x="13522930187" y="15520577"/>
              <a:ext cx="1615477" cy="2013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4/12</a:t>
              </a:r>
              <a:endParaRPr lang="en-US" sz="1100"/>
            </a:p>
          </xdr:txBody>
        </xdr:sp>
      </mc:Fallback>
    </mc:AlternateContent>
    <xdr:clientData/>
  </xdr:oneCellAnchor>
  <xdr:twoCellAnchor>
    <xdr:from>
      <xdr:col>8</xdr:col>
      <xdr:colOff>36705</xdr:colOff>
      <xdr:row>113</xdr:row>
      <xdr:rowOff>201878</xdr:rowOff>
    </xdr:from>
    <xdr:to>
      <xdr:col>8</xdr:col>
      <xdr:colOff>128468</xdr:colOff>
      <xdr:row>115</xdr:row>
      <xdr:rowOff>88092</xdr:rowOff>
    </xdr:to>
    <xdr:sp macro="" textlink="">
      <xdr:nvSpPr>
        <xdr:cNvPr id="52" name="Down Arrow 51">
          <a:extLst>
            <a:ext uri="{FF2B5EF4-FFF2-40B4-BE49-F238E27FC236}">
              <a16:creationId xmlns:a16="http://schemas.microsoft.com/office/drawing/2014/main" id="{DB014A00-B368-2CDC-2FEC-CA7F9B4485E5}"/>
            </a:ext>
          </a:extLst>
        </xdr:cNvPr>
        <xdr:cNvSpPr/>
      </xdr:nvSpPr>
      <xdr:spPr>
        <a:xfrm>
          <a:off x="13524270376" y="16583410"/>
          <a:ext cx="91763" cy="289971"/>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165174</xdr:colOff>
      <xdr:row>114</xdr:row>
      <xdr:rowOff>11011</xdr:rowOff>
    </xdr:from>
    <xdr:to>
      <xdr:col>7</xdr:col>
      <xdr:colOff>256937</xdr:colOff>
      <xdr:row>115</xdr:row>
      <xdr:rowOff>99103</xdr:rowOff>
    </xdr:to>
    <xdr:sp macro="" textlink="">
      <xdr:nvSpPr>
        <xdr:cNvPr id="53" name="Down Arrow 52">
          <a:extLst>
            <a:ext uri="{FF2B5EF4-FFF2-40B4-BE49-F238E27FC236}">
              <a16:creationId xmlns:a16="http://schemas.microsoft.com/office/drawing/2014/main" id="{6514A9CC-EFF0-DBAF-FBFA-6560107E9C94}"/>
            </a:ext>
          </a:extLst>
        </xdr:cNvPr>
        <xdr:cNvSpPr/>
      </xdr:nvSpPr>
      <xdr:spPr>
        <a:xfrm>
          <a:off x="13524967774" y="16594421"/>
          <a:ext cx="91763" cy="289971"/>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275290</xdr:colOff>
      <xdr:row>113</xdr:row>
      <xdr:rowOff>198207</xdr:rowOff>
    </xdr:from>
    <xdr:to>
      <xdr:col>6</xdr:col>
      <xdr:colOff>367053</xdr:colOff>
      <xdr:row>115</xdr:row>
      <xdr:rowOff>84421</xdr:rowOff>
    </xdr:to>
    <xdr:sp macro="" textlink="">
      <xdr:nvSpPr>
        <xdr:cNvPr id="54" name="Down Arrow 53">
          <a:extLst>
            <a:ext uri="{FF2B5EF4-FFF2-40B4-BE49-F238E27FC236}">
              <a16:creationId xmlns:a16="http://schemas.microsoft.com/office/drawing/2014/main" id="{C51121B4-0BD4-6138-BF8A-E2159B8932D4}"/>
            </a:ext>
          </a:extLst>
        </xdr:cNvPr>
        <xdr:cNvSpPr/>
      </xdr:nvSpPr>
      <xdr:spPr>
        <a:xfrm>
          <a:off x="13525683525" y="16579739"/>
          <a:ext cx="91763" cy="289971"/>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583614</xdr:colOff>
      <xdr:row>114</xdr:row>
      <xdr:rowOff>29364</xdr:rowOff>
    </xdr:from>
    <xdr:to>
      <xdr:col>5</xdr:col>
      <xdr:colOff>675377</xdr:colOff>
      <xdr:row>115</xdr:row>
      <xdr:rowOff>117456</xdr:rowOff>
    </xdr:to>
    <xdr:sp macro="" textlink="">
      <xdr:nvSpPr>
        <xdr:cNvPr id="55" name="Down Arrow 54">
          <a:extLst>
            <a:ext uri="{FF2B5EF4-FFF2-40B4-BE49-F238E27FC236}">
              <a16:creationId xmlns:a16="http://schemas.microsoft.com/office/drawing/2014/main" id="{666155E8-F258-B2CE-C585-2FF3B26278DB}"/>
            </a:ext>
          </a:extLst>
        </xdr:cNvPr>
        <xdr:cNvSpPr/>
      </xdr:nvSpPr>
      <xdr:spPr>
        <a:xfrm>
          <a:off x="13526201068" y="16612774"/>
          <a:ext cx="91763" cy="289971"/>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444133</xdr:colOff>
      <xdr:row>106</xdr:row>
      <xdr:rowOff>117455</xdr:rowOff>
    </xdr:from>
    <xdr:to>
      <xdr:col>8</xdr:col>
      <xdr:colOff>247761</xdr:colOff>
      <xdr:row>107</xdr:row>
      <xdr:rowOff>22022</xdr:rowOff>
    </xdr:to>
    <xdr:sp macro="" textlink="">
      <xdr:nvSpPr>
        <xdr:cNvPr id="56" name="Right Bracket 55">
          <a:extLst>
            <a:ext uri="{FF2B5EF4-FFF2-40B4-BE49-F238E27FC236}">
              <a16:creationId xmlns:a16="http://schemas.microsoft.com/office/drawing/2014/main" id="{827D5FB7-6052-C7E5-C1D5-E3F34B1FB710}"/>
            </a:ext>
          </a:extLst>
        </xdr:cNvPr>
        <xdr:cNvSpPr/>
      </xdr:nvSpPr>
      <xdr:spPr>
        <a:xfrm rot="16200000">
          <a:off x="13524825541" y="14411379"/>
          <a:ext cx="106445" cy="1455362"/>
        </a:xfrm>
        <a:prstGeom prst="rightBracket">
          <a:avLst/>
        </a:prstGeom>
      </xdr:spPr>
      <xdr:style>
        <a:lnRef idx="3">
          <a:schemeClr val="dk1"/>
        </a:lnRef>
        <a:fillRef idx="0">
          <a:schemeClr val="dk1"/>
        </a:fillRef>
        <a:effectRef idx="2">
          <a:schemeClr val="dk1"/>
        </a:effectRef>
        <a:fontRef idx="minor">
          <a:schemeClr val="tx1"/>
        </a:fontRef>
      </xdr:style>
      <xdr:txBody>
        <a:bodyPr vertOverflow="clip" horzOverflow="clip" rtlCol="0" anchor="t"/>
        <a:lstStyle/>
        <a:p>
          <a:pPr algn="r" rtl="1"/>
          <a:endParaRPr lang="en-US" sz="1100"/>
        </a:p>
      </xdr:txBody>
    </xdr:sp>
    <xdr:clientData/>
  </xdr:twoCellAnchor>
  <xdr:twoCellAnchor>
    <xdr:from>
      <xdr:col>7</xdr:col>
      <xdr:colOff>374392</xdr:colOff>
      <xdr:row>107</xdr:row>
      <xdr:rowOff>181693</xdr:rowOff>
    </xdr:from>
    <xdr:to>
      <xdr:col>8</xdr:col>
      <xdr:colOff>233078</xdr:colOff>
      <xdr:row>108</xdr:row>
      <xdr:rowOff>69742</xdr:rowOff>
    </xdr:to>
    <xdr:sp macro="" textlink="">
      <xdr:nvSpPr>
        <xdr:cNvPr id="57" name="Right Bracket 56">
          <a:extLst>
            <a:ext uri="{FF2B5EF4-FFF2-40B4-BE49-F238E27FC236}">
              <a16:creationId xmlns:a16="http://schemas.microsoft.com/office/drawing/2014/main" id="{42F0DCC8-5CFD-0859-C512-DF0C6D445CF3}"/>
            </a:ext>
          </a:extLst>
        </xdr:cNvPr>
        <xdr:cNvSpPr/>
      </xdr:nvSpPr>
      <xdr:spPr>
        <a:xfrm rot="5400000">
          <a:off x="13524463079" y="15054640"/>
          <a:ext cx="89928" cy="684553"/>
        </a:xfrm>
        <a:prstGeom prst="rightBracket">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6</xdr:col>
      <xdr:colOff>759798</xdr:colOff>
      <xdr:row>108</xdr:row>
      <xdr:rowOff>148438</xdr:rowOff>
    </xdr:from>
    <xdr:ext cx="1615477" cy="201337"/>
    <mc:AlternateContent xmlns:mc="http://schemas.openxmlformats.org/markup-compatibility/2006" xmlns:a14="http://schemas.microsoft.com/office/drawing/2010/main">
      <mc:Choice Requires="a14">
        <xdr:sp macro="" textlink="">
          <xdr:nvSpPr>
            <xdr:cNvPr id="58" name="TextBox 57">
              <a:extLst>
                <a:ext uri="{FF2B5EF4-FFF2-40B4-BE49-F238E27FC236}">
                  <a16:creationId xmlns:a16="http://schemas.microsoft.com/office/drawing/2014/main" id="{C4F46ADF-E3A9-6671-67C8-00A511ABA810}"/>
                </a:ext>
              </a:extLst>
            </xdr:cNvPr>
            <xdr:cNvSpPr txBox="1"/>
          </xdr:nvSpPr>
          <xdr:spPr>
            <a:xfrm>
              <a:off x="13523675303" y="15520577"/>
              <a:ext cx="1615477" cy="2013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700" b="0" i="1">
                            <a:latin typeface="Cambria Math" panose="02040503050406030204" pitchFamily="18" charset="0"/>
                          </a:rPr>
                        </m:ctrlPr>
                      </m:fPr>
                      <m:num>
                        <m:r>
                          <a:rPr lang="en-US" sz="700" b="0" i="1">
                            <a:latin typeface="Cambria Math" panose="02040503050406030204" pitchFamily="18" charset="0"/>
                          </a:rPr>
                          <m:t>8</m:t>
                        </m:r>
                      </m:num>
                      <m:den>
                        <m:r>
                          <a:rPr lang="en-US" sz="700" b="0" i="1">
                            <a:latin typeface="Cambria Math" panose="02040503050406030204" pitchFamily="18" charset="0"/>
                          </a:rPr>
                          <m:t>12</m:t>
                        </m:r>
                      </m:den>
                    </m:f>
                  </m:oMath>
                </m:oMathPara>
              </a14:m>
              <a:endParaRPr lang="en-US" sz="1100"/>
            </a:p>
          </xdr:txBody>
        </xdr:sp>
      </mc:Choice>
      <mc:Fallback xmlns="">
        <xdr:sp macro="" textlink="">
          <xdr:nvSpPr>
            <xdr:cNvPr id="58" name="TextBox 57">
              <a:extLst>
                <a:ext uri="{FF2B5EF4-FFF2-40B4-BE49-F238E27FC236}">
                  <a16:creationId xmlns:a16="http://schemas.microsoft.com/office/drawing/2014/main" id="{C4F46ADF-E3A9-6671-67C8-00A511ABA810}"/>
                </a:ext>
              </a:extLst>
            </xdr:cNvPr>
            <xdr:cNvSpPr txBox="1"/>
          </xdr:nvSpPr>
          <xdr:spPr>
            <a:xfrm>
              <a:off x="13523675303" y="15520577"/>
              <a:ext cx="1615477" cy="2013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8/12</a:t>
              </a:r>
              <a:endParaRPr lang="en-US" sz="1100"/>
            </a:p>
          </xdr:txBody>
        </xdr:sp>
      </mc:Fallback>
    </mc:AlternateContent>
    <xdr:clientData/>
  </xdr:oneCellAnchor>
  <xdr:twoCellAnchor>
    <xdr:from>
      <xdr:col>6</xdr:col>
      <xdr:colOff>407427</xdr:colOff>
      <xdr:row>107</xdr:row>
      <xdr:rowOff>185364</xdr:rowOff>
    </xdr:from>
    <xdr:to>
      <xdr:col>7</xdr:col>
      <xdr:colOff>266113</xdr:colOff>
      <xdr:row>108</xdr:row>
      <xdr:rowOff>73413</xdr:rowOff>
    </xdr:to>
    <xdr:sp macro="" textlink="">
      <xdr:nvSpPr>
        <xdr:cNvPr id="59" name="Right Bracket 58">
          <a:extLst>
            <a:ext uri="{FF2B5EF4-FFF2-40B4-BE49-F238E27FC236}">
              <a16:creationId xmlns:a16="http://schemas.microsoft.com/office/drawing/2014/main" id="{87321DFC-7BF7-7AC4-1268-A711E53E48E0}"/>
            </a:ext>
          </a:extLst>
        </xdr:cNvPr>
        <xdr:cNvSpPr/>
      </xdr:nvSpPr>
      <xdr:spPr>
        <a:xfrm rot="5400000">
          <a:off x="13525255911" y="15058311"/>
          <a:ext cx="89928" cy="684553"/>
        </a:xfrm>
        <a:prstGeom prst="rightBracket">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5</xdr:col>
      <xdr:colOff>814857</xdr:colOff>
      <xdr:row>108</xdr:row>
      <xdr:rowOff>137427</xdr:rowOff>
    </xdr:from>
    <xdr:ext cx="1615477" cy="201337"/>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8F4C3F74-77FA-A4ED-4E63-43044B9277CE}"/>
                </a:ext>
              </a:extLst>
            </xdr:cNvPr>
            <xdr:cNvSpPr txBox="1"/>
          </xdr:nvSpPr>
          <xdr:spPr>
            <a:xfrm>
              <a:off x="13524446111" y="15509566"/>
              <a:ext cx="1615477" cy="2013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700" b="0" i="1">
                            <a:latin typeface="Cambria Math" panose="02040503050406030204" pitchFamily="18" charset="0"/>
                          </a:rPr>
                        </m:ctrlPr>
                      </m:fPr>
                      <m:num>
                        <m:r>
                          <a:rPr lang="en-US" sz="700" b="0" i="1">
                            <a:latin typeface="Cambria Math" panose="02040503050406030204" pitchFamily="18" charset="0"/>
                          </a:rPr>
                          <m:t>4</m:t>
                        </m:r>
                      </m:num>
                      <m:den>
                        <m:r>
                          <a:rPr lang="en-US" sz="700" b="0" i="1">
                            <a:latin typeface="Cambria Math" panose="02040503050406030204" pitchFamily="18" charset="0"/>
                          </a:rPr>
                          <m:t>12</m:t>
                        </m:r>
                      </m:den>
                    </m:f>
                  </m:oMath>
                </m:oMathPara>
              </a14:m>
              <a:endParaRPr lang="en-US" sz="1100"/>
            </a:p>
          </xdr:txBody>
        </xdr:sp>
      </mc:Choice>
      <mc:Fallback xmlns="">
        <xdr:sp macro="" textlink="">
          <xdr:nvSpPr>
            <xdr:cNvPr id="60" name="TextBox 59">
              <a:extLst>
                <a:ext uri="{FF2B5EF4-FFF2-40B4-BE49-F238E27FC236}">
                  <a16:creationId xmlns:a16="http://schemas.microsoft.com/office/drawing/2014/main" id="{8F4C3F74-77FA-A4ED-4E63-43044B9277CE}"/>
                </a:ext>
              </a:extLst>
            </xdr:cNvPr>
            <xdr:cNvSpPr txBox="1"/>
          </xdr:nvSpPr>
          <xdr:spPr>
            <a:xfrm>
              <a:off x="13524446111" y="15509566"/>
              <a:ext cx="1615477" cy="2013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4/12</a:t>
              </a:r>
              <a:endParaRPr lang="en-US" sz="1100"/>
            </a:p>
          </xdr:txBody>
        </xdr:sp>
      </mc:Fallback>
    </mc:AlternateContent>
    <xdr:clientData/>
  </xdr:oneCellAnchor>
  <xdr:twoCellAnchor>
    <xdr:from>
      <xdr:col>4</xdr:col>
      <xdr:colOff>466145</xdr:colOff>
      <xdr:row>106</xdr:row>
      <xdr:rowOff>102773</xdr:rowOff>
    </xdr:from>
    <xdr:to>
      <xdr:col>6</xdr:col>
      <xdr:colOff>269773</xdr:colOff>
      <xdr:row>107</xdr:row>
      <xdr:rowOff>7340</xdr:rowOff>
    </xdr:to>
    <xdr:sp macro="" textlink="">
      <xdr:nvSpPr>
        <xdr:cNvPr id="61" name="Right Bracket 60">
          <a:extLst>
            <a:ext uri="{FF2B5EF4-FFF2-40B4-BE49-F238E27FC236}">
              <a16:creationId xmlns:a16="http://schemas.microsoft.com/office/drawing/2014/main" id="{618DEB2F-A9E3-A377-0BDC-A237575BC5BB}"/>
            </a:ext>
          </a:extLst>
        </xdr:cNvPr>
        <xdr:cNvSpPr/>
      </xdr:nvSpPr>
      <xdr:spPr>
        <a:xfrm rot="16200000">
          <a:off x="13526455263" y="14396697"/>
          <a:ext cx="106445" cy="1455362"/>
        </a:xfrm>
        <a:prstGeom prst="rightBracket">
          <a:avLst/>
        </a:prstGeom>
      </xdr:spPr>
      <xdr:style>
        <a:lnRef idx="3">
          <a:schemeClr val="dk1"/>
        </a:lnRef>
        <a:fillRef idx="0">
          <a:schemeClr val="dk1"/>
        </a:fillRef>
        <a:effectRef idx="2">
          <a:schemeClr val="dk1"/>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389074</xdr:colOff>
      <xdr:row>107</xdr:row>
      <xdr:rowOff>170683</xdr:rowOff>
    </xdr:from>
    <xdr:to>
      <xdr:col>6</xdr:col>
      <xdr:colOff>247760</xdr:colOff>
      <xdr:row>108</xdr:row>
      <xdr:rowOff>58732</xdr:rowOff>
    </xdr:to>
    <xdr:sp macro="" textlink="">
      <xdr:nvSpPr>
        <xdr:cNvPr id="62" name="Right Bracket 61">
          <a:extLst>
            <a:ext uri="{FF2B5EF4-FFF2-40B4-BE49-F238E27FC236}">
              <a16:creationId xmlns:a16="http://schemas.microsoft.com/office/drawing/2014/main" id="{9DAAA57D-9946-0B9B-0851-CEC2DFD400FC}"/>
            </a:ext>
          </a:extLst>
        </xdr:cNvPr>
        <xdr:cNvSpPr/>
      </xdr:nvSpPr>
      <xdr:spPr>
        <a:xfrm rot="5400000">
          <a:off x="13526100131" y="15043630"/>
          <a:ext cx="89928" cy="684553"/>
        </a:xfrm>
        <a:prstGeom prst="rightBracket">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5</xdr:col>
      <xdr:colOff>517542</xdr:colOff>
      <xdr:row>108</xdr:row>
      <xdr:rowOff>89709</xdr:rowOff>
    </xdr:from>
    <xdr:ext cx="477616" cy="201722"/>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EF72CCBE-70D8-B19B-2CBB-75541EA4C87D}"/>
                </a:ext>
              </a:extLst>
            </xdr:cNvPr>
            <xdr:cNvSpPr txBox="1"/>
          </xdr:nvSpPr>
          <xdr:spPr>
            <a:xfrm>
              <a:off x="13525881287" y="15461848"/>
              <a:ext cx="477616" cy="2017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700" b="0" i="1">
                            <a:latin typeface="Cambria Math" panose="02040503050406030204" pitchFamily="18" charset="0"/>
                          </a:rPr>
                        </m:ctrlPr>
                      </m:fPr>
                      <m:num>
                        <m:r>
                          <a:rPr lang="en-US" sz="700" b="0" i="1">
                            <a:latin typeface="Cambria Math" panose="02040503050406030204" pitchFamily="18" charset="0"/>
                          </a:rPr>
                          <m:t>8</m:t>
                        </m:r>
                      </m:num>
                      <m:den>
                        <m:r>
                          <a:rPr lang="en-US" sz="700" b="0" i="1">
                            <a:latin typeface="Cambria Math" panose="02040503050406030204" pitchFamily="18" charset="0"/>
                          </a:rPr>
                          <m:t>12</m:t>
                        </m:r>
                      </m:den>
                    </m:f>
                  </m:oMath>
                </m:oMathPara>
              </a14:m>
              <a:endParaRPr lang="en-US" sz="1100"/>
            </a:p>
          </xdr:txBody>
        </xdr:sp>
      </mc:Choice>
      <mc:Fallback xmlns="">
        <xdr:sp macro="" textlink="">
          <xdr:nvSpPr>
            <xdr:cNvPr id="63" name="TextBox 62">
              <a:extLst>
                <a:ext uri="{FF2B5EF4-FFF2-40B4-BE49-F238E27FC236}">
                  <a16:creationId xmlns:a16="http://schemas.microsoft.com/office/drawing/2014/main" id="{EF72CCBE-70D8-B19B-2CBB-75541EA4C87D}"/>
                </a:ext>
              </a:extLst>
            </xdr:cNvPr>
            <xdr:cNvSpPr txBox="1"/>
          </xdr:nvSpPr>
          <xdr:spPr>
            <a:xfrm>
              <a:off x="13525881287" y="15461848"/>
              <a:ext cx="477616" cy="2017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8/12</a:t>
              </a:r>
              <a:endParaRPr lang="en-US" sz="1100"/>
            </a:p>
          </xdr:txBody>
        </xdr:sp>
      </mc:Fallback>
    </mc:AlternateContent>
    <xdr:clientData/>
  </xdr:oneCellAnchor>
  <xdr:twoCellAnchor>
    <xdr:from>
      <xdr:col>4</xdr:col>
      <xdr:colOff>440461</xdr:colOff>
      <xdr:row>107</xdr:row>
      <xdr:rowOff>167013</xdr:rowOff>
    </xdr:from>
    <xdr:to>
      <xdr:col>5</xdr:col>
      <xdr:colOff>299147</xdr:colOff>
      <xdr:row>108</xdr:row>
      <xdr:rowOff>55062</xdr:rowOff>
    </xdr:to>
    <xdr:sp macro="" textlink="">
      <xdr:nvSpPr>
        <xdr:cNvPr id="64" name="Right Bracket 63">
          <a:extLst>
            <a:ext uri="{FF2B5EF4-FFF2-40B4-BE49-F238E27FC236}">
              <a16:creationId xmlns:a16="http://schemas.microsoft.com/office/drawing/2014/main" id="{59E11DB6-89FF-D594-D31D-69A4BF8AE161}"/>
            </a:ext>
          </a:extLst>
        </xdr:cNvPr>
        <xdr:cNvSpPr/>
      </xdr:nvSpPr>
      <xdr:spPr>
        <a:xfrm rot="5400000">
          <a:off x="13526874611" y="15039960"/>
          <a:ext cx="89928" cy="684553"/>
        </a:xfrm>
        <a:prstGeom prst="rightBracket">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3</xdr:col>
      <xdr:colOff>789164</xdr:colOff>
      <xdr:row>108</xdr:row>
      <xdr:rowOff>108063</xdr:rowOff>
    </xdr:from>
    <xdr:ext cx="1615477" cy="201337"/>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CCD50ED8-0521-73C7-8323-029AA2015D16}"/>
                </a:ext>
              </a:extLst>
            </xdr:cNvPr>
            <xdr:cNvSpPr txBox="1"/>
          </xdr:nvSpPr>
          <xdr:spPr>
            <a:xfrm>
              <a:off x="13526123538" y="15480202"/>
              <a:ext cx="1615477" cy="2013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700" b="0" i="1">
                            <a:latin typeface="Cambria Math" panose="02040503050406030204" pitchFamily="18" charset="0"/>
                          </a:rPr>
                        </m:ctrlPr>
                      </m:fPr>
                      <m:num>
                        <m:r>
                          <a:rPr lang="en-US" sz="700" b="0" i="1">
                            <a:latin typeface="Cambria Math" panose="02040503050406030204" pitchFamily="18" charset="0"/>
                          </a:rPr>
                          <m:t>4</m:t>
                        </m:r>
                      </m:num>
                      <m:den>
                        <m:r>
                          <a:rPr lang="en-US" sz="700" b="0" i="1">
                            <a:latin typeface="Cambria Math" panose="02040503050406030204" pitchFamily="18" charset="0"/>
                          </a:rPr>
                          <m:t>12</m:t>
                        </m:r>
                      </m:den>
                    </m:f>
                  </m:oMath>
                </m:oMathPara>
              </a14:m>
              <a:endParaRPr lang="en-US" sz="1100"/>
            </a:p>
          </xdr:txBody>
        </xdr:sp>
      </mc:Choice>
      <mc:Fallback xmlns="">
        <xdr:sp macro="" textlink="">
          <xdr:nvSpPr>
            <xdr:cNvPr id="65" name="TextBox 64">
              <a:extLst>
                <a:ext uri="{FF2B5EF4-FFF2-40B4-BE49-F238E27FC236}">
                  <a16:creationId xmlns:a16="http://schemas.microsoft.com/office/drawing/2014/main" id="{CCD50ED8-0521-73C7-8323-029AA2015D16}"/>
                </a:ext>
              </a:extLst>
            </xdr:cNvPr>
            <xdr:cNvSpPr txBox="1"/>
          </xdr:nvSpPr>
          <xdr:spPr>
            <a:xfrm>
              <a:off x="13526123538" y="15480202"/>
              <a:ext cx="1615477" cy="2013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4/12</a:t>
              </a:r>
              <a:endParaRPr lang="en-US" sz="1100"/>
            </a:p>
          </xdr:txBody>
        </xdr:sp>
      </mc:Fallback>
    </mc:AlternateContent>
    <xdr:clientData/>
  </xdr:oneCellAnchor>
  <xdr:twoCellAnchor>
    <xdr:from>
      <xdr:col>2</xdr:col>
      <xdr:colOff>561577</xdr:colOff>
      <xdr:row>106</xdr:row>
      <xdr:rowOff>91761</xdr:rowOff>
    </xdr:from>
    <xdr:to>
      <xdr:col>4</xdr:col>
      <xdr:colOff>365205</xdr:colOff>
      <xdr:row>106</xdr:row>
      <xdr:rowOff>198206</xdr:rowOff>
    </xdr:to>
    <xdr:sp macro="" textlink="">
      <xdr:nvSpPr>
        <xdr:cNvPr id="66" name="Right Bracket 65">
          <a:extLst>
            <a:ext uri="{FF2B5EF4-FFF2-40B4-BE49-F238E27FC236}">
              <a16:creationId xmlns:a16="http://schemas.microsoft.com/office/drawing/2014/main" id="{CFD92EEC-ABB7-4D8E-18C7-31AAA4A08EEF}"/>
            </a:ext>
          </a:extLst>
        </xdr:cNvPr>
        <xdr:cNvSpPr/>
      </xdr:nvSpPr>
      <xdr:spPr>
        <a:xfrm rot="16200000">
          <a:off x="13528011565" y="14385685"/>
          <a:ext cx="106445" cy="1455362"/>
        </a:xfrm>
        <a:prstGeom prst="rightBracket">
          <a:avLst/>
        </a:prstGeom>
      </xdr:spPr>
      <xdr:style>
        <a:lnRef idx="3">
          <a:schemeClr val="dk1"/>
        </a:lnRef>
        <a:fillRef idx="0">
          <a:schemeClr val="dk1"/>
        </a:fillRef>
        <a:effectRef idx="2">
          <a:schemeClr val="dk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513871</xdr:colOff>
      <xdr:row>107</xdr:row>
      <xdr:rowOff>156002</xdr:rowOff>
    </xdr:from>
    <xdr:to>
      <xdr:col>4</xdr:col>
      <xdr:colOff>372557</xdr:colOff>
      <xdr:row>108</xdr:row>
      <xdr:rowOff>44051</xdr:rowOff>
    </xdr:to>
    <xdr:sp macro="" textlink="">
      <xdr:nvSpPr>
        <xdr:cNvPr id="67" name="Right Bracket 66">
          <a:extLst>
            <a:ext uri="{FF2B5EF4-FFF2-40B4-BE49-F238E27FC236}">
              <a16:creationId xmlns:a16="http://schemas.microsoft.com/office/drawing/2014/main" id="{A47168BC-111E-B2D6-BB19-30DFDB82407A}"/>
            </a:ext>
          </a:extLst>
        </xdr:cNvPr>
        <xdr:cNvSpPr/>
      </xdr:nvSpPr>
      <xdr:spPr>
        <a:xfrm rot="5400000">
          <a:off x="13527627068" y="15028949"/>
          <a:ext cx="89928" cy="684553"/>
        </a:xfrm>
        <a:prstGeom prst="rightBracket">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3</xdr:col>
      <xdr:colOff>642339</xdr:colOff>
      <xdr:row>108</xdr:row>
      <xdr:rowOff>75028</xdr:rowOff>
    </xdr:from>
    <xdr:ext cx="477616" cy="201722"/>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8316E92A-0986-5F99-5B59-853BF08ACD68}"/>
                </a:ext>
              </a:extLst>
            </xdr:cNvPr>
            <xdr:cNvSpPr txBox="1"/>
          </xdr:nvSpPr>
          <xdr:spPr>
            <a:xfrm>
              <a:off x="13527408224" y="15447167"/>
              <a:ext cx="477616" cy="2017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700" b="0" i="1">
                            <a:latin typeface="Cambria Math" panose="02040503050406030204" pitchFamily="18" charset="0"/>
                          </a:rPr>
                        </m:ctrlPr>
                      </m:fPr>
                      <m:num>
                        <m:r>
                          <a:rPr lang="en-US" sz="700" b="0" i="1">
                            <a:latin typeface="Cambria Math" panose="02040503050406030204" pitchFamily="18" charset="0"/>
                          </a:rPr>
                          <m:t>8</m:t>
                        </m:r>
                      </m:num>
                      <m:den>
                        <m:r>
                          <a:rPr lang="en-US" sz="700" b="0" i="1">
                            <a:latin typeface="Cambria Math" panose="02040503050406030204" pitchFamily="18" charset="0"/>
                          </a:rPr>
                          <m:t>12</m:t>
                        </m:r>
                      </m:den>
                    </m:f>
                  </m:oMath>
                </m:oMathPara>
              </a14:m>
              <a:endParaRPr lang="en-US" sz="1100"/>
            </a:p>
          </xdr:txBody>
        </xdr:sp>
      </mc:Choice>
      <mc:Fallback xmlns="">
        <xdr:sp macro="" textlink="">
          <xdr:nvSpPr>
            <xdr:cNvPr id="68" name="TextBox 67">
              <a:extLst>
                <a:ext uri="{FF2B5EF4-FFF2-40B4-BE49-F238E27FC236}">
                  <a16:creationId xmlns:a16="http://schemas.microsoft.com/office/drawing/2014/main" id="{8316E92A-0986-5F99-5B59-853BF08ACD68}"/>
                </a:ext>
              </a:extLst>
            </xdr:cNvPr>
            <xdr:cNvSpPr txBox="1"/>
          </xdr:nvSpPr>
          <xdr:spPr>
            <a:xfrm>
              <a:off x="13527408224" y="15447167"/>
              <a:ext cx="477616" cy="2017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8/12</a:t>
              </a:r>
              <a:endParaRPr lang="en-US" sz="1100"/>
            </a:p>
          </xdr:txBody>
        </xdr:sp>
      </mc:Fallback>
    </mc:AlternateContent>
    <xdr:clientData/>
  </xdr:oneCellAnchor>
  <xdr:twoCellAnchor>
    <xdr:from>
      <xdr:col>2</xdr:col>
      <xdr:colOff>565258</xdr:colOff>
      <xdr:row>107</xdr:row>
      <xdr:rowOff>152332</xdr:rowOff>
    </xdr:from>
    <xdr:to>
      <xdr:col>3</xdr:col>
      <xdr:colOff>423944</xdr:colOff>
      <xdr:row>108</xdr:row>
      <xdr:rowOff>40381</xdr:rowOff>
    </xdr:to>
    <xdr:sp macro="" textlink="">
      <xdr:nvSpPr>
        <xdr:cNvPr id="69" name="Right Bracket 68">
          <a:extLst>
            <a:ext uri="{FF2B5EF4-FFF2-40B4-BE49-F238E27FC236}">
              <a16:creationId xmlns:a16="http://schemas.microsoft.com/office/drawing/2014/main" id="{04A5ABDF-A5FC-72FB-DAC7-D9A26170E74D}"/>
            </a:ext>
          </a:extLst>
        </xdr:cNvPr>
        <xdr:cNvSpPr/>
      </xdr:nvSpPr>
      <xdr:spPr>
        <a:xfrm rot="5400000">
          <a:off x="13528401548" y="15025279"/>
          <a:ext cx="89928" cy="684553"/>
        </a:xfrm>
        <a:prstGeom prst="rightBracket">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2</xdr:col>
      <xdr:colOff>88094</xdr:colOff>
      <xdr:row>108</xdr:row>
      <xdr:rowOff>93382</xdr:rowOff>
    </xdr:from>
    <xdr:ext cx="1615477" cy="201337"/>
    <mc:AlternateContent xmlns:mc="http://schemas.openxmlformats.org/markup-compatibility/2006" xmlns:a14="http://schemas.microsoft.com/office/drawing/2010/main">
      <mc:Choice Requires="a14">
        <xdr:sp macro="" textlink="">
          <xdr:nvSpPr>
            <xdr:cNvPr id="70" name="TextBox 69">
              <a:extLst>
                <a:ext uri="{FF2B5EF4-FFF2-40B4-BE49-F238E27FC236}">
                  <a16:creationId xmlns:a16="http://schemas.microsoft.com/office/drawing/2014/main" id="{03032C23-A19F-465C-3A60-450F0FF8D2EF}"/>
                </a:ext>
              </a:extLst>
            </xdr:cNvPr>
            <xdr:cNvSpPr txBox="1"/>
          </xdr:nvSpPr>
          <xdr:spPr>
            <a:xfrm>
              <a:off x="13527650475" y="15465521"/>
              <a:ext cx="1615477" cy="2013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700" b="0" i="1">
                            <a:latin typeface="Cambria Math" panose="02040503050406030204" pitchFamily="18" charset="0"/>
                          </a:rPr>
                        </m:ctrlPr>
                      </m:fPr>
                      <m:num>
                        <m:r>
                          <a:rPr lang="en-US" sz="700" b="0" i="1">
                            <a:latin typeface="Cambria Math" panose="02040503050406030204" pitchFamily="18" charset="0"/>
                          </a:rPr>
                          <m:t>4</m:t>
                        </m:r>
                      </m:num>
                      <m:den>
                        <m:r>
                          <a:rPr lang="en-US" sz="700" b="0" i="1">
                            <a:latin typeface="Cambria Math" panose="02040503050406030204" pitchFamily="18" charset="0"/>
                          </a:rPr>
                          <m:t>12</m:t>
                        </m:r>
                      </m:den>
                    </m:f>
                  </m:oMath>
                </m:oMathPara>
              </a14:m>
              <a:endParaRPr lang="en-US" sz="1100"/>
            </a:p>
          </xdr:txBody>
        </xdr:sp>
      </mc:Choice>
      <mc:Fallback xmlns="">
        <xdr:sp macro="" textlink="">
          <xdr:nvSpPr>
            <xdr:cNvPr id="70" name="TextBox 69">
              <a:extLst>
                <a:ext uri="{FF2B5EF4-FFF2-40B4-BE49-F238E27FC236}">
                  <a16:creationId xmlns:a16="http://schemas.microsoft.com/office/drawing/2014/main" id="{03032C23-A19F-465C-3A60-450F0FF8D2EF}"/>
                </a:ext>
              </a:extLst>
            </xdr:cNvPr>
            <xdr:cNvSpPr txBox="1"/>
          </xdr:nvSpPr>
          <xdr:spPr>
            <a:xfrm>
              <a:off x="13527650475" y="15465521"/>
              <a:ext cx="1615477" cy="2013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4/12</a:t>
              </a:r>
              <a:endParaRPr lang="en-US" sz="1100"/>
            </a:p>
          </xdr:txBody>
        </xdr:sp>
      </mc:Fallback>
    </mc:AlternateContent>
    <xdr:clientData/>
  </xdr:oneCellAnchor>
  <xdr:twoCellAnchor editAs="oneCell">
    <xdr:from>
      <xdr:col>5</xdr:col>
      <xdr:colOff>431320</xdr:colOff>
      <xdr:row>183</xdr:row>
      <xdr:rowOff>47022</xdr:rowOff>
    </xdr:from>
    <xdr:to>
      <xdr:col>9</xdr:col>
      <xdr:colOff>694945</xdr:colOff>
      <xdr:row>194</xdr:row>
      <xdr:rowOff>184727</xdr:rowOff>
    </xdr:to>
    <xdr:pic>
      <xdr:nvPicPr>
        <xdr:cNvPr id="71" name="Picture 70" descr="Funny Sausage Images – Browse 28,496 Stock Photos, Vectors, and Video |  Adobe Stock">
          <a:extLst>
            <a:ext uri="{FF2B5EF4-FFF2-40B4-BE49-F238E27FC236}">
              <a16:creationId xmlns:a16="http://schemas.microsoft.com/office/drawing/2014/main" id="{77AB23D8-F420-E4A1-47DE-BD8E95FD64BA}"/>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3548377025" y="37419658"/>
          <a:ext cx="3573322" cy="23813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9</xdr:col>
      <xdr:colOff>538787</xdr:colOff>
      <xdr:row>80</xdr:row>
      <xdr:rowOff>146244</xdr:rowOff>
    </xdr:from>
    <xdr:to>
      <xdr:col>10</xdr:col>
      <xdr:colOff>827424</xdr:colOff>
      <xdr:row>83</xdr:row>
      <xdr:rowOff>19243</xdr:rowOff>
    </xdr:to>
    <xdr:sp macro="" textlink="">
      <xdr:nvSpPr>
        <xdr:cNvPr id="3" name="Rectangular Callout 2">
          <a:extLst>
            <a:ext uri="{FF2B5EF4-FFF2-40B4-BE49-F238E27FC236}">
              <a16:creationId xmlns:a16="http://schemas.microsoft.com/office/drawing/2014/main" id="{505284FF-25EB-6C57-91F2-E670C43541EE}"/>
            </a:ext>
          </a:extLst>
        </xdr:cNvPr>
        <xdr:cNvSpPr/>
      </xdr:nvSpPr>
      <xdr:spPr>
        <a:xfrm>
          <a:off x="13547417122" y="16486911"/>
          <a:ext cx="1116061" cy="484908"/>
        </a:xfrm>
        <a:prstGeom prst="wedgeRectCallout">
          <a:avLst>
            <a:gd name="adj1" fmla="val -17433"/>
            <a:gd name="adj2" fmla="val -20840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en-US" sz="1100"/>
            <a:t>F</a:t>
          </a:r>
          <a:r>
            <a:rPr lang="en-US" sz="1100" baseline="0"/>
            <a:t> my Life</a:t>
          </a:r>
          <a:endParaRPr lang="he-IL" sz="1100" baseline="0"/>
        </a:p>
        <a:p>
          <a:pPr algn="r" rtl="1"/>
          <a:r>
            <a:rPr lang="he-IL" sz="1100" baseline="0"/>
            <a:t>זה סכום ספרות</a:t>
          </a:r>
          <a:endParaRPr lang="en-US" sz="1100"/>
        </a:p>
      </xdr:txBody>
    </xdr:sp>
    <xdr:clientData/>
  </xdr:twoCellAnchor>
  <xdr:twoCellAnchor editAs="oneCell">
    <xdr:from>
      <xdr:col>0</xdr:col>
      <xdr:colOff>32775</xdr:colOff>
      <xdr:row>394</xdr:row>
      <xdr:rowOff>86032</xdr:rowOff>
    </xdr:from>
    <xdr:to>
      <xdr:col>7</xdr:col>
      <xdr:colOff>692355</xdr:colOff>
      <xdr:row>409</xdr:row>
      <xdr:rowOff>85517</xdr:rowOff>
    </xdr:to>
    <xdr:pic>
      <xdr:nvPicPr>
        <xdr:cNvPr id="5" name="Picture 4">
          <a:extLst>
            <a:ext uri="{FF2B5EF4-FFF2-40B4-BE49-F238E27FC236}">
              <a16:creationId xmlns:a16="http://schemas.microsoft.com/office/drawing/2014/main" id="{74D641D6-AF1A-87EE-05C9-7B219D4953FA}"/>
            </a:ext>
          </a:extLst>
        </xdr:cNvPr>
        <xdr:cNvPicPr>
          <a:picLocks noChangeAspect="1"/>
        </xdr:cNvPicPr>
      </xdr:nvPicPr>
      <xdr:blipFill>
        <a:blip xmlns:r="http://schemas.openxmlformats.org/officeDocument/2006/relationships" r:embed="rId3"/>
        <a:stretch>
          <a:fillRect/>
        </a:stretch>
      </xdr:blipFill>
      <xdr:spPr>
        <a:xfrm>
          <a:off x="13552067580" y="81026000"/>
          <a:ext cx="6452419" cy="3072065"/>
        </a:xfrm>
        <a:prstGeom prst="rect">
          <a:avLst/>
        </a:prstGeom>
      </xdr:spPr>
    </xdr:pic>
    <xdr:clientData/>
  </xdr:twoCellAnchor>
  <xdr:twoCellAnchor editAs="oneCell">
    <xdr:from>
      <xdr:col>0</xdr:col>
      <xdr:colOff>1</xdr:colOff>
      <xdr:row>421</xdr:row>
      <xdr:rowOff>77840</xdr:rowOff>
    </xdr:from>
    <xdr:to>
      <xdr:col>7</xdr:col>
      <xdr:colOff>741517</xdr:colOff>
      <xdr:row>438</xdr:row>
      <xdr:rowOff>123126</xdr:rowOff>
    </xdr:to>
    <xdr:pic>
      <xdr:nvPicPr>
        <xdr:cNvPr id="15" name="Picture 14">
          <a:extLst>
            <a:ext uri="{FF2B5EF4-FFF2-40B4-BE49-F238E27FC236}">
              <a16:creationId xmlns:a16="http://schemas.microsoft.com/office/drawing/2014/main" id="{A3451741-6B81-186D-1C13-C2A5765CE1B4}"/>
            </a:ext>
          </a:extLst>
        </xdr:cNvPr>
        <xdr:cNvPicPr>
          <a:picLocks noChangeAspect="1"/>
        </xdr:cNvPicPr>
      </xdr:nvPicPr>
      <xdr:blipFill>
        <a:blip xmlns:r="http://schemas.openxmlformats.org/officeDocument/2006/relationships" r:embed="rId4"/>
        <a:stretch>
          <a:fillRect/>
        </a:stretch>
      </xdr:blipFill>
      <xdr:spPr>
        <a:xfrm>
          <a:off x="13552018418" y="86548453"/>
          <a:ext cx="6534355" cy="3527544"/>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oneCellAnchor>
    <xdr:from>
      <xdr:col>4</xdr:col>
      <xdr:colOff>8247</xdr:colOff>
      <xdr:row>174</xdr:row>
      <xdr:rowOff>101518</xdr:rowOff>
    </xdr:from>
    <xdr:ext cx="1673468" cy="490262"/>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4F1B3C1C-DEE5-0E4E-91B7-4CB7E29B2509}"/>
                </a:ext>
              </a:extLst>
            </xdr:cNvPr>
            <xdr:cNvSpPr txBox="1"/>
          </xdr:nvSpPr>
          <xdr:spPr>
            <a:xfrm>
              <a:off x="13506500103" y="28321908"/>
              <a:ext cx="1673468" cy="490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1,000−0</m:t>
                        </m:r>
                      </m:num>
                      <m:den>
                        <m:r>
                          <a:rPr lang="he-IL" sz="1100" b="0" i="1">
                            <a:latin typeface="Cambria Math" panose="02040503050406030204" pitchFamily="18" charset="0"/>
                          </a:rPr>
                          <m:t>10</m:t>
                        </m:r>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9</m:t>
                        </m:r>
                      </m:num>
                      <m:den>
                        <m:r>
                          <a:rPr lang="he-IL" sz="1100" b="0" i="1">
                            <a:latin typeface="Cambria Math" panose="02040503050406030204" pitchFamily="18" charset="0"/>
                          </a:rPr>
                          <m:t>12</m:t>
                        </m:r>
                      </m:den>
                    </m:f>
                    <m:r>
                      <a:rPr lang="he-IL" sz="1100" b="0" i="1">
                        <a:latin typeface="Cambria Math" panose="02040503050406030204" pitchFamily="18" charset="0"/>
                      </a:rPr>
                      <m:t>=</m:t>
                    </m:r>
                    <m:r>
                      <a:rPr lang="he-IL" sz="1100" b="1" i="1">
                        <a:solidFill>
                          <a:srgbClr val="FF0000"/>
                        </a:solidFill>
                        <a:latin typeface="Cambria Math" panose="02040503050406030204" pitchFamily="18" charset="0"/>
                      </a:rPr>
                      <m:t>𝟕𝟓</m:t>
                    </m:r>
                  </m:oMath>
                </m:oMathPara>
              </a14:m>
              <a:endParaRPr lang="he-IL" sz="1100" b="1"/>
            </a:p>
            <a:p>
              <a:pPr algn="r" rtl="1"/>
              <a:endParaRPr lang="en-US" sz="1100"/>
            </a:p>
          </xdr:txBody>
        </xdr:sp>
      </mc:Choice>
      <mc:Fallback xmlns="">
        <xdr:sp macro="" textlink="">
          <xdr:nvSpPr>
            <xdr:cNvPr id="2" name="TextBox 1">
              <a:extLst>
                <a:ext uri="{FF2B5EF4-FFF2-40B4-BE49-F238E27FC236}">
                  <a16:creationId xmlns:a16="http://schemas.microsoft.com/office/drawing/2014/main" id="{4F1B3C1C-DEE5-0E4E-91B7-4CB7E29B2509}"/>
                </a:ext>
              </a:extLst>
            </xdr:cNvPr>
            <xdr:cNvSpPr txBox="1"/>
          </xdr:nvSpPr>
          <xdr:spPr>
            <a:xfrm>
              <a:off x="13506500103" y="28321908"/>
              <a:ext cx="1673468" cy="490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(1,000−0)/10∗9/12=</a:t>
              </a:r>
              <a:r>
                <a:rPr lang="he-IL" sz="1100" b="1" i="0">
                  <a:solidFill>
                    <a:srgbClr val="FF0000"/>
                  </a:solidFill>
                  <a:latin typeface="Cambria Math" panose="02040503050406030204" pitchFamily="18" charset="0"/>
                </a:rPr>
                <a:t>𝟕𝟓</a:t>
              </a:r>
              <a:endParaRPr lang="he-IL" sz="1100" b="1"/>
            </a:p>
            <a:p>
              <a:pPr algn="r" rtl="1"/>
              <a:endParaRPr lang="en-US" sz="1100"/>
            </a:p>
          </xdr:txBody>
        </xdr:sp>
      </mc:Fallback>
    </mc:AlternateContent>
    <xdr:clientData/>
  </xdr:oneCellAnchor>
  <xdr:twoCellAnchor>
    <xdr:from>
      <xdr:col>4</xdr:col>
      <xdr:colOff>272143</xdr:colOff>
      <xdr:row>176</xdr:row>
      <xdr:rowOff>12370</xdr:rowOff>
    </xdr:from>
    <xdr:to>
      <xdr:col>4</xdr:col>
      <xdr:colOff>342240</xdr:colOff>
      <xdr:row>177</xdr:row>
      <xdr:rowOff>53604</xdr:rowOff>
    </xdr:to>
    <xdr:sp macro="" textlink="">
      <xdr:nvSpPr>
        <xdr:cNvPr id="3" name="Down Arrow 2">
          <a:extLst>
            <a:ext uri="{FF2B5EF4-FFF2-40B4-BE49-F238E27FC236}">
              <a16:creationId xmlns:a16="http://schemas.microsoft.com/office/drawing/2014/main" id="{B1E7C3F1-E94F-4444-8C6A-4E34AE08FECC}"/>
            </a:ext>
          </a:extLst>
        </xdr:cNvPr>
        <xdr:cNvSpPr/>
      </xdr:nvSpPr>
      <xdr:spPr>
        <a:xfrm>
          <a:off x="13507839578" y="28636851"/>
          <a:ext cx="70097" cy="243279"/>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0</xdr:col>
      <xdr:colOff>125196</xdr:colOff>
      <xdr:row>207</xdr:row>
      <xdr:rowOff>110351</xdr:rowOff>
    </xdr:from>
    <xdr:to>
      <xdr:col>5</xdr:col>
      <xdr:colOff>589561</xdr:colOff>
      <xdr:row>213</xdr:row>
      <xdr:rowOff>22781</xdr:rowOff>
    </xdr:to>
    <xdr:pic>
      <xdr:nvPicPr>
        <xdr:cNvPr id="6" name="Picture 5">
          <a:extLst>
            <a:ext uri="{FF2B5EF4-FFF2-40B4-BE49-F238E27FC236}">
              <a16:creationId xmlns:a16="http://schemas.microsoft.com/office/drawing/2014/main" id="{EA0BA6EF-F6CA-8E47-813D-569D50821AAD}"/>
            </a:ext>
          </a:extLst>
        </xdr:cNvPr>
        <xdr:cNvPicPr>
          <a:picLocks noChangeAspect="1"/>
        </xdr:cNvPicPr>
      </xdr:nvPicPr>
      <xdr:blipFill>
        <a:blip xmlns:r="http://schemas.openxmlformats.org/officeDocument/2006/relationships" r:embed="rId1"/>
        <a:stretch>
          <a:fillRect/>
        </a:stretch>
      </xdr:blipFill>
      <xdr:spPr>
        <a:xfrm>
          <a:off x="13513383362" y="59610173"/>
          <a:ext cx="6202305" cy="1130857"/>
        </a:xfrm>
        <a:prstGeom prst="rect">
          <a:avLst/>
        </a:prstGeom>
      </xdr:spPr>
    </xdr:pic>
    <xdr:clientData/>
  </xdr:twoCellAnchor>
  <xdr:twoCellAnchor>
    <xdr:from>
      <xdr:col>1</xdr:col>
      <xdr:colOff>346363</xdr:colOff>
      <xdr:row>216</xdr:row>
      <xdr:rowOff>197922</xdr:rowOff>
    </xdr:from>
    <xdr:to>
      <xdr:col>1</xdr:col>
      <xdr:colOff>358734</xdr:colOff>
      <xdr:row>224</xdr:row>
      <xdr:rowOff>32987</xdr:rowOff>
    </xdr:to>
    <xdr:cxnSp macro="">
      <xdr:nvCxnSpPr>
        <xdr:cNvPr id="8" name="Straight Arrow Connector 7">
          <a:extLst>
            <a:ext uri="{FF2B5EF4-FFF2-40B4-BE49-F238E27FC236}">
              <a16:creationId xmlns:a16="http://schemas.microsoft.com/office/drawing/2014/main" id="{D17A6CAF-1E1F-8146-B657-AF9098C530A5}"/>
            </a:ext>
          </a:extLst>
        </xdr:cNvPr>
        <xdr:cNvCxnSpPr/>
      </xdr:nvCxnSpPr>
      <xdr:spPr>
        <a:xfrm>
          <a:off x="13510297110" y="25400000"/>
          <a:ext cx="12371" cy="65561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753146</xdr:colOff>
      <xdr:row>216</xdr:row>
      <xdr:rowOff>159951</xdr:rowOff>
    </xdr:from>
    <xdr:to>
      <xdr:col>5</xdr:col>
      <xdr:colOff>439768</xdr:colOff>
      <xdr:row>217</xdr:row>
      <xdr:rowOff>73360</xdr:rowOff>
    </xdr:to>
    <xdr:sp macro="" textlink="">
      <xdr:nvSpPr>
        <xdr:cNvPr id="10" name="Left Brace 9">
          <a:extLst>
            <a:ext uri="{FF2B5EF4-FFF2-40B4-BE49-F238E27FC236}">
              <a16:creationId xmlns:a16="http://schemas.microsoft.com/office/drawing/2014/main" id="{E35B7F81-CEC8-2347-A220-2E418C745AC6}"/>
            </a:ext>
          </a:extLst>
        </xdr:cNvPr>
        <xdr:cNvSpPr/>
      </xdr:nvSpPr>
      <xdr:spPr>
        <a:xfrm rot="16200000">
          <a:off x="13506170241" y="25280880"/>
          <a:ext cx="129485" cy="511240"/>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37108</xdr:colOff>
      <xdr:row>216</xdr:row>
      <xdr:rowOff>189675</xdr:rowOff>
    </xdr:from>
    <xdr:to>
      <xdr:col>4</xdr:col>
      <xdr:colOff>622629</xdr:colOff>
      <xdr:row>217</xdr:row>
      <xdr:rowOff>82467</xdr:rowOff>
    </xdr:to>
    <xdr:sp macro="" textlink="">
      <xdr:nvSpPr>
        <xdr:cNvPr id="11" name="Left Brace 10">
          <a:extLst>
            <a:ext uri="{FF2B5EF4-FFF2-40B4-BE49-F238E27FC236}">
              <a16:creationId xmlns:a16="http://schemas.microsoft.com/office/drawing/2014/main" id="{5056FDD4-31A5-1B40-A0E4-E7E0D39E2EC1}"/>
            </a:ext>
          </a:extLst>
        </xdr:cNvPr>
        <xdr:cNvSpPr/>
      </xdr:nvSpPr>
      <xdr:spPr>
        <a:xfrm rot="16200000">
          <a:off x="13507798346" y="25152596"/>
          <a:ext cx="107208" cy="585521"/>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721590</xdr:colOff>
      <xdr:row>216</xdr:row>
      <xdr:rowOff>193799</xdr:rowOff>
    </xdr:from>
    <xdr:to>
      <xdr:col>5</xdr:col>
      <xdr:colOff>725714</xdr:colOff>
      <xdr:row>219</xdr:row>
      <xdr:rowOff>181429</xdr:rowOff>
    </xdr:to>
    <xdr:cxnSp macro="">
      <xdr:nvCxnSpPr>
        <xdr:cNvPr id="12" name="Straight Arrow Connector 11">
          <a:extLst>
            <a:ext uri="{FF2B5EF4-FFF2-40B4-BE49-F238E27FC236}">
              <a16:creationId xmlns:a16="http://schemas.microsoft.com/office/drawing/2014/main" id="{A018978F-A3AB-5A41-B219-7FD20350AAB5}"/>
            </a:ext>
          </a:extLst>
        </xdr:cNvPr>
        <xdr:cNvCxnSpPr/>
      </xdr:nvCxnSpPr>
      <xdr:spPr>
        <a:xfrm>
          <a:off x="13506631428" y="25395877"/>
          <a:ext cx="4124" cy="60613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5645</xdr:colOff>
      <xdr:row>13</xdr:row>
      <xdr:rowOff>146756</xdr:rowOff>
    </xdr:from>
    <xdr:to>
      <xdr:col>8</xdr:col>
      <xdr:colOff>152399</xdr:colOff>
      <xdr:row>20</xdr:row>
      <xdr:rowOff>90311</xdr:rowOff>
    </xdr:to>
    <xdr:sp macro="" textlink="">
      <xdr:nvSpPr>
        <xdr:cNvPr id="13" name="Left Brace 12">
          <a:extLst>
            <a:ext uri="{FF2B5EF4-FFF2-40B4-BE49-F238E27FC236}">
              <a16:creationId xmlns:a16="http://schemas.microsoft.com/office/drawing/2014/main" id="{608ABC69-A5EB-E647-BDB3-AC729EB6AE4E}"/>
            </a:ext>
          </a:extLst>
        </xdr:cNvPr>
        <xdr:cNvSpPr/>
      </xdr:nvSpPr>
      <xdr:spPr>
        <a:xfrm>
          <a:off x="13495127246" y="2810934"/>
          <a:ext cx="146754" cy="1411110"/>
        </a:xfrm>
        <a:prstGeom prst="leftBrace">
          <a:avLst/>
        </a:prstGeom>
      </xdr:spPr>
      <xdr:style>
        <a:lnRef idx="2">
          <a:schemeClr val="dk1"/>
        </a:lnRef>
        <a:fillRef idx="0">
          <a:schemeClr val="dk1"/>
        </a:fillRef>
        <a:effectRef idx="1">
          <a:schemeClr val="dk1"/>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784579</xdr:colOff>
      <xdr:row>263</xdr:row>
      <xdr:rowOff>56444</xdr:rowOff>
    </xdr:from>
    <xdr:ext cx="3252023" cy="318036"/>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FD012127-DAD0-504E-B525-2F276B573BFE}"/>
                </a:ext>
              </a:extLst>
            </xdr:cNvPr>
            <xdr:cNvSpPr txBox="1"/>
          </xdr:nvSpPr>
          <xdr:spPr>
            <a:xfrm>
              <a:off x="13497011665" y="49676755"/>
              <a:ext cx="325202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r>
                      <a:rPr lang="he-IL" sz="1100" b="0" i="1">
                        <a:latin typeface="Cambria Math" panose="02040503050406030204" pitchFamily="18" charset="0"/>
                      </a:rPr>
                      <m:t>(2020)</m:t>
                    </m:r>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𝐺</m:t>
                            </m:r>
                          </m:sub>
                        </m:sSub>
                      </m:num>
                      <m:den>
                        <m:r>
                          <a:rPr lang="en-US" sz="1100" b="0" i="1">
                            <a:latin typeface="Cambria Math" panose="02040503050406030204" pitchFamily="18" charset="0"/>
                          </a:rPr>
                          <m:t>𝑛</m:t>
                        </m:r>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1,000−0</m:t>
                        </m:r>
                      </m:num>
                      <m:den>
                        <m:r>
                          <a:rPr lang="he-IL" sz="1100" b="0" i="1">
                            <a:latin typeface="Cambria Math" panose="02040503050406030204" pitchFamily="18" charset="0"/>
                          </a:rPr>
                          <m:t>10</m:t>
                        </m:r>
                      </m:den>
                    </m:f>
                    <m:r>
                      <a:rPr lang="he-IL" sz="1100" b="0" i="1">
                        <a:latin typeface="Cambria Math" panose="02040503050406030204" pitchFamily="18" charset="0"/>
                      </a:rPr>
                      <m:t>=100</m:t>
                    </m:r>
                  </m:oMath>
                </m:oMathPara>
              </a14:m>
              <a:endParaRPr lang="en-US" sz="1100"/>
            </a:p>
          </xdr:txBody>
        </xdr:sp>
      </mc:Choice>
      <mc:Fallback xmlns="">
        <xdr:sp macro="" textlink="">
          <xdr:nvSpPr>
            <xdr:cNvPr id="7" name="TextBox 6">
              <a:extLst>
                <a:ext uri="{FF2B5EF4-FFF2-40B4-BE49-F238E27FC236}">
                  <a16:creationId xmlns:a16="http://schemas.microsoft.com/office/drawing/2014/main" id="{FD012127-DAD0-504E-B525-2F276B573BFE}"/>
                </a:ext>
              </a:extLst>
            </xdr:cNvPr>
            <xdr:cNvSpPr txBox="1"/>
          </xdr:nvSpPr>
          <xdr:spPr>
            <a:xfrm>
              <a:off x="13497011665" y="49676755"/>
              <a:ext cx="325202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(2020)</a:t>
              </a:r>
              <a:r>
                <a:rPr lang="en-US" sz="1100" b="0" i="0">
                  <a:latin typeface="Cambria Math" panose="02040503050406030204" pitchFamily="18" charset="0"/>
                </a:rPr>
                <a:t>=(𝐼_0−𝐼_𝐺)/𝑛</a:t>
              </a:r>
              <a:r>
                <a:rPr lang="he-IL" sz="1100" b="0" i="0">
                  <a:latin typeface="Cambria Math" panose="02040503050406030204" pitchFamily="18" charset="0"/>
                </a:rPr>
                <a:t>=(1,000−0)/10=100</a:t>
              </a:r>
              <a:endParaRPr lang="en-US" sz="1100"/>
            </a:p>
          </xdr:txBody>
        </xdr:sp>
      </mc:Fallback>
    </mc:AlternateContent>
    <xdr:clientData/>
  </xdr:oneCellAnchor>
  <xdr:oneCellAnchor>
    <xdr:from>
      <xdr:col>1</xdr:col>
      <xdr:colOff>299155</xdr:colOff>
      <xdr:row>266</xdr:row>
      <xdr:rowOff>16933</xdr:rowOff>
    </xdr:from>
    <xdr:ext cx="279400" cy="172227"/>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19D0CBB4-6ED1-6B44-9DF1-3FC5C6648457}"/>
                </a:ext>
              </a:extLst>
            </xdr:cNvPr>
            <xdr:cNvSpPr txBox="1"/>
          </xdr:nvSpPr>
          <xdr:spPr>
            <a:xfrm flipH="1">
              <a:off x="13500469712" y="50246844"/>
              <a:ext cx="2794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9" name="TextBox 8">
              <a:extLst>
                <a:ext uri="{FF2B5EF4-FFF2-40B4-BE49-F238E27FC236}">
                  <a16:creationId xmlns:a16="http://schemas.microsoft.com/office/drawing/2014/main" id="{19D0CBB4-6ED1-6B44-9DF1-3FC5C6648457}"/>
                </a:ext>
              </a:extLst>
            </xdr:cNvPr>
            <xdr:cNvSpPr txBox="1"/>
          </xdr:nvSpPr>
          <xdr:spPr>
            <a:xfrm flipH="1">
              <a:off x="13500469712" y="50246844"/>
              <a:ext cx="2794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𝐼_0</a:t>
              </a:r>
              <a:endParaRPr lang="en-US" sz="1100"/>
            </a:p>
          </xdr:txBody>
        </xdr:sp>
      </mc:Fallback>
    </mc:AlternateContent>
    <xdr:clientData/>
  </xdr:oneCellAnchor>
  <xdr:oneCellAnchor>
    <xdr:from>
      <xdr:col>1</xdr:col>
      <xdr:colOff>282222</xdr:colOff>
      <xdr:row>267</xdr:row>
      <xdr:rowOff>11288</xdr:rowOff>
    </xdr:from>
    <xdr:ext cx="279400" cy="172227"/>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8F85A33D-57E4-4145-919B-E432E72C26FD}"/>
                </a:ext>
              </a:extLst>
            </xdr:cNvPr>
            <xdr:cNvSpPr txBox="1"/>
          </xdr:nvSpPr>
          <xdr:spPr>
            <a:xfrm flipH="1">
              <a:off x="13500486645" y="50444399"/>
              <a:ext cx="2794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𝐺</m:t>
                        </m:r>
                      </m:sub>
                    </m:sSub>
                  </m:oMath>
                </m:oMathPara>
              </a14:m>
              <a:endParaRPr lang="en-US" sz="1100"/>
            </a:p>
          </xdr:txBody>
        </xdr:sp>
      </mc:Choice>
      <mc:Fallback xmlns="">
        <xdr:sp macro="" textlink="">
          <xdr:nvSpPr>
            <xdr:cNvPr id="14" name="TextBox 13">
              <a:extLst>
                <a:ext uri="{FF2B5EF4-FFF2-40B4-BE49-F238E27FC236}">
                  <a16:creationId xmlns:a16="http://schemas.microsoft.com/office/drawing/2014/main" id="{8F85A33D-57E4-4145-919B-E432E72C26FD}"/>
                </a:ext>
              </a:extLst>
            </xdr:cNvPr>
            <xdr:cNvSpPr txBox="1"/>
          </xdr:nvSpPr>
          <xdr:spPr>
            <a:xfrm flipH="1">
              <a:off x="13500486645" y="50444399"/>
              <a:ext cx="2794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𝐼_𝐺</a:t>
              </a:r>
              <a:endParaRPr lang="en-US" sz="1100"/>
            </a:p>
          </xdr:txBody>
        </xdr:sp>
      </mc:Fallback>
    </mc:AlternateContent>
    <xdr:clientData/>
  </xdr:oneCellAnchor>
  <xdr:oneCellAnchor>
    <xdr:from>
      <xdr:col>1</xdr:col>
      <xdr:colOff>270933</xdr:colOff>
      <xdr:row>267</xdr:row>
      <xdr:rowOff>191910</xdr:rowOff>
    </xdr:from>
    <xdr:ext cx="279400" cy="172227"/>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5C534353-EE35-7241-805D-B077FC836DB9}"/>
                </a:ext>
              </a:extLst>
            </xdr:cNvPr>
            <xdr:cNvSpPr txBox="1"/>
          </xdr:nvSpPr>
          <xdr:spPr>
            <a:xfrm flipH="1">
              <a:off x="13500497934" y="50625021"/>
              <a:ext cx="2794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𝑛</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5C534353-EE35-7241-805D-B077FC836DB9}"/>
                </a:ext>
              </a:extLst>
            </xdr:cNvPr>
            <xdr:cNvSpPr txBox="1"/>
          </xdr:nvSpPr>
          <xdr:spPr>
            <a:xfrm flipH="1">
              <a:off x="13500497934" y="50625021"/>
              <a:ext cx="2794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𝑛</a:t>
              </a:r>
              <a:endParaRPr lang="en-US" sz="1100"/>
            </a:p>
          </xdr:txBody>
        </xdr:sp>
      </mc:Fallback>
    </mc:AlternateContent>
    <xdr:clientData/>
  </xdr:oneCellAnchor>
  <xdr:twoCellAnchor>
    <xdr:from>
      <xdr:col>2</xdr:col>
      <xdr:colOff>282222</xdr:colOff>
      <xdr:row>292</xdr:row>
      <xdr:rowOff>73378</xdr:rowOff>
    </xdr:from>
    <xdr:to>
      <xdr:col>2</xdr:col>
      <xdr:colOff>451556</xdr:colOff>
      <xdr:row>293</xdr:row>
      <xdr:rowOff>90311</xdr:rowOff>
    </xdr:to>
    <xdr:sp macro="" textlink="">
      <xdr:nvSpPr>
        <xdr:cNvPr id="16" name="Down Arrow 15">
          <a:extLst>
            <a:ext uri="{FF2B5EF4-FFF2-40B4-BE49-F238E27FC236}">
              <a16:creationId xmlns:a16="http://schemas.microsoft.com/office/drawing/2014/main" id="{71DDB550-DDCB-734E-A633-549A1314E97F}"/>
            </a:ext>
          </a:extLst>
        </xdr:cNvPr>
        <xdr:cNvSpPr/>
      </xdr:nvSpPr>
      <xdr:spPr>
        <a:xfrm>
          <a:off x="13499772622" y="54813200"/>
          <a:ext cx="169334" cy="220133"/>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310445</xdr:colOff>
      <xdr:row>292</xdr:row>
      <xdr:rowOff>62088</xdr:rowOff>
    </xdr:from>
    <xdr:to>
      <xdr:col>5</xdr:col>
      <xdr:colOff>479779</xdr:colOff>
      <xdr:row>293</xdr:row>
      <xdr:rowOff>79021</xdr:rowOff>
    </xdr:to>
    <xdr:sp macro="" textlink="">
      <xdr:nvSpPr>
        <xdr:cNvPr id="17" name="Down Arrow 16">
          <a:extLst>
            <a:ext uri="{FF2B5EF4-FFF2-40B4-BE49-F238E27FC236}">
              <a16:creationId xmlns:a16="http://schemas.microsoft.com/office/drawing/2014/main" id="{081FE012-917A-F444-AF46-9EED0F560CFC}"/>
            </a:ext>
          </a:extLst>
        </xdr:cNvPr>
        <xdr:cNvSpPr/>
      </xdr:nvSpPr>
      <xdr:spPr>
        <a:xfrm>
          <a:off x="13497272133" y="54801910"/>
          <a:ext cx="169334" cy="220133"/>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321734</xdr:colOff>
      <xdr:row>297</xdr:row>
      <xdr:rowOff>62088</xdr:rowOff>
    </xdr:from>
    <xdr:to>
      <xdr:col>5</xdr:col>
      <xdr:colOff>491068</xdr:colOff>
      <xdr:row>298</xdr:row>
      <xdr:rowOff>79021</xdr:rowOff>
    </xdr:to>
    <xdr:sp macro="" textlink="">
      <xdr:nvSpPr>
        <xdr:cNvPr id="18" name="Down Arrow 17">
          <a:extLst>
            <a:ext uri="{FF2B5EF4-FFF2-40B4-BE49-F238E27FC236}">
              <a16:creationId xmlns:a16="http://schemas.microsoft.com/office/drawing/2014/main" id="{8C609EFA-7C85-D441-91F3-5FBED3205C8C}"/>
            </a:ext>
          </a:extLst>
        </xdr:cNvPr>
        <xdr:cNvSpPr/>
      </xdr:nvSpPr>
      <xdr:spPr>
        <a:xfrm>
          <a:off x="13497260844" y="55817910"/>
          <a:ext cx="169334" cy="220133"/>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254000</xdr:colOff>
      <xdr:row>299</xdr:row>
      <xdr:rowOff>135467</xdr:rowOff>
    </xdr:from>
    <xdr:to>
      <xdr:col>3</xdr:col>
      <xdr:colOff>434622</xdr:colOff>
      <xdr:row>307</xdr:row>
      <xdr:rowOff>186267</xdr:rowOff>
    </xdr:to>
    <xdr:sp macro="" textlink="">
      <xdr:nvSpPr>
        <xdr:cNvPr id="19" name="Rectangle 18">
          <a:extLst>
            <a:ext uri="{FF2B5EF4-FFF2-40B4-BE49-F238E27FC236}">
              <a16:creationId xmlns:a16="http://schemas.microsoft.com/office/drawing/2014/main" id="{7DCC7A58-3B12-E946-AD11-2B2C77A46D8A}"/>
            </a:ext>
          </a:extLst>
        </xdr:cNvPr>
        <xdr:cNvSpPr/>
      </xdr:nvSpPr>
      <xdr:spPr>
        <a:xfrm>
          <a:off x="13498965467" y="56297689"/>
          <a:ext cx="1828800" cy="16764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latin typeface="David" panose="020E0502060401010101" pitchFamily="34" charset="-79"/>
              <a:cs typeface="David" panose="020E0502060401010101" pitchFamily="34" charset="-79"/>
            </a:rPr>
            <a:t>הסבר זה מובא לנוחות הקורא/ת </a:t>
          </a:r>
          <a:r>
            <a:rPr lang="he-IL" sz="1100" b="1">
              <a:latin typeface="David" panose="020E0502060401010101" pitchFamily="34" charset="-79"/>
              <a:cs typeface="David" panose="020E0502060401010101" pitchFamily="34" charset="-79"/>
            </a:rPr>
            <a:t>ואין צורך לציינו במסגרת פתרון שאלת מסה. </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זהו רק הסבר שיעזור לכם להבין מה תעשו. </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בהיבט סיווגי, כל שעליכם לדעת הוא שיבוץ מלאי הסגירה כנכס מצד אחד בסימן חיובי, וכהוצאה מצד שני בסימן שלילי</a:t>
          </a:r>
          <a:r>
            <a:rPr lang="he-IL" sz="1100" baseline="0">
              <a:latin typeface="David" panose="020E0502060401010101" pitchFamily="34" charset="-79"/>
              <a:cs typeface="David" panose="020E0502060401010101" pitchFamily="34" charset="-79"/>
            </a:rPr>
            <a:t> </a:t>
          </a:r>
          <a:endParaRPr lang="en-US" sz="1100">
            <a:latin typeface="David" panose="020E0502060401010101" pitchFamily="34" charset="-79"/>
            <a:cs typeface="David" panose="020E0502060401010101" pitchFamily="34" charset="-79"/>
          </a:endParaRPr>
        </a:p>
      </xdr:txBody>
    </xdr:sp>
    <xdr:clientData/>
  </xdr:twoCellAnchor>
  <xdr:twoCellAnchor>
    <xdr:from>
      <xdr:col>3</xdr:col>
      <xdr:colOff>19050</xdr:colOff>
      <xdr:row>440</xdr:row>
      <xdr:rowOff>69850</xdr:rowOff>
    </xdr:from>
    <xdr:to>
      <xdr:col>3</xdr:col>
      <xdr:colOff>755650</xdr:colOff>
      <xdr:row>440</xdr:row>
      <xdr:rowOff>190500</xdr:rowOff>
    </xdr:to>
    <xdr:sp macro="" textlink="">
      <xdr:nvSpPr>
        <xdr:cNvPr id="20" name="Left Arrow 19">
          <a:extLst>
            <a:ext uri="{FF2B5EF4-FFF2-40B4-BE49-F238E27FC236}">
              <a16:creationId xmlns:a16="http://schemas.microsoft.com/office/drawing/2014/main" id="{8F2DCA0B-D2EB-1448-9582-5DE12374149E}"/>
            </a:ext>
          </a:extLst>
        </xdr:cNvPr>
        <xdr:cNvSpPr/>
      </xdr:nvSpPr>
      <xdr:spPr>
        <a:xfrm>
          <a:off x="13521759850" y="84194650"/>
          <a:ext cx="736600" cy="120650"/>
        </a:xfrm>
        <a:prstGeom prst="lef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31750</xdr:colOff>
      <xdr:row>467</xdr:row>
      <xdr:rowOff>6350</xdr:rowOff>
    </xdr:from>
    <xdr:to>
      <xdr:col>7</xdr:col>
      <xdr:colOff>88900</xdr:colOff>
      <xdr:row>468</xdr:row>
      <xdr:rowOff>76200</xdr:rowOff>
    </xdr:to>
    <xdr:cxnSp macro="">
      <xdr:nvCxnSpPr>
        <xdr:cNvPr id="22" name="Straight Arrow Connector 21">
          <a:extLst>
            <a:ext uri="{FF2B5EF4-FFF2-40B4-BE49-F238E27FC236}">
              <a16:creationId xmlns:a16="http://schemas.microsoft.com/office/drawing/2014/main" id="{424582BF-257E-4C46-AEF3-1C8434992E9F}"/>
            </a:ext>
          </a:extLst>
        </xdr:cNvPr>
        <xdr:cNvCxnSpPr/>
      </xdr:nvCxnSpPr>
      <xdr:spPr>
        <a:xfrm flipH="1">
          <a:off x="13519124600" y="89655650"/>
          <a:ext cx="57150" cy="2730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311150</xdr:colOff>
      <xdr:row>466</xdr:row>
      <xdr:rowOff>196850</xdr:rowOff>
    </xdr:from>
    <xdr:to>
      <xdr:col>6</xdr:col>
      <xdr:colOff>463550</xdr:colOff>
      <xdr:row>468</xdr:row>
      <xdr:rowOff>101600</xdr:rowOff>
    </xdr:to>
    <xdr:cxnSp macro="">
      <xdr:nvCxnSpPr>
        <xdr:cNvPr id="23" name="Straight Arrow Connector 22">
          <a:extLst>
            <a:ext uri="{FF2B5EF4-FFF2-40B4-BE49-F238E27FC236}">
              <a16:creationId xmlns:a16="http://schemas.microsoft.com/office/drawing/2014/main" id="{7CBFC14C-C110-4C4B-AE85-93EF1892F4B6}"/>
            </a:ext>
          </a:extLst>
        </xdr:cNvPr>
        <xdr:cNvCxnSpPr/>
      </xdr:nvCxnSpPr>
      <xdr:spPr>
        <a:xfrm>
          <a:off x="13519575450" y="89642950"/>
          <a:ext cx="152400" cy="311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628650</xdr:colOff>
      <xdr:row>467</xdr:row>
      <xdr:rowOff>0</xdr:rowOff>
    </xdr:from>
    <xdr:to>
      <xdr:col>6</xdr:col>
      <xdr:colOff>107950</xdr:colOff>
      <xdr:row>468</xdr:row>
      <xdr:rowOff>63500</xdr:rowOff>
    </xdr:to>
    <xdr:cxnSp macro="">
      <xdr:nvCxnSpPr>
        <xdr:cNvPr id="25" name="Straight Arrow Connector 24">
          <a:extLst>
            <a:ext uri="{FF2B5EF4-FFF2-40B4-BE49-F238E27FC236}">
              <a16:creationId xmlns:a16="http://schemas.microsoft.com/office/drawing/2014/main" id="{BC0A0593-D7B0-6C42-B941-00CCD9144C9F}"/>
            </a:ext>
          </a:extLst>
        </xdr:cNvPr>
        <xdr:cNvCxnSpPr/>
      </xdr:nvCxnSpPr>
      <xdr:spPr>
        <a:xfrm>
          <a:off x="13519931050" y="89649300"/>
          <a:ext cx="304800" cy="266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495300</xdr:colOff>
      <xdr:row>466</xdr:row>
      <xdr:rowOff>196850</xdr:rowOff>
    </xdr:from>
    <xdr:to>
      <xdr:col>5</xdr:col>
      <xdr:colOff>628650</xdr:colOff>
      <xdr:row>468</xdr:row>
      <xdr:rowOff>101600</xdr:rowOff>
    </xdr:to>
    <xdr:cxnSp macro="">
      <xdr:nvCxnSpPr>
        <xdr:cNvPr id="27" name="Straight Arrow Connector 26">
          <a:extLst>
            <a:ext uri="{FF2B5EF4-FFF2-40B4-BE49-F238E27FC236}">
              <a16:creationId xmlns:a16="http://schemas.microsoft.com/office/drawing/2014/main" id="{28BB0681-7672-5A4F-9CA6-51CE23D02594}"/>
            </a:ext>
          </a:extLst>
        </xdr:cNvPr>
        <xdr:cNvCxnSpPr/>
      </xdr:nvCxnSpPr>
      <xdr:spPr>
        <a:xfrm>
          <a:off x="13520235850" y="89642950"/>
          <a:ext cx="958850" cy="311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263896</xdr:colOff>
      <xdr:row>141</xdr:row>
      <xdr:rowOff>202045</xdr:rowOff>
    </xdr:from>
    <xdr:to>
      <xdr:col>4</xdr:col>
      <xdr:colOff>268019</xdr:colOff>
      <xdr:row>143</xdr:row>
      <xdr:rowOff>12370</xdr:rowOff>
    </xdr:to>
    <xdr:cxnSp macro="">
      <xdr:nvCxnSpPr>
        <xdr:cNvPr id="4" name="Straight Arrow Connector 3">
          <a:extLst>
            <a:ext uri="{FF2B5EF4-FFF2-40B4-BE49-F238E27FC236}">
              <a16:creationId xmlns:a16="http://schemas.microsoft.com/office/drawing/2014/main" id="{4D4A096A-65D6-C046-A0B3-A1524DE50F22}"/>
            </a:ext>
          </a:extLst>
        </xdr:cNvPr>
        <xdr:cNvCxnSpPr/>
      </xdr:nvCxnSpPr>
      <xdr:spPr>
        <a:xfrm>
          <a:off x="13521421981" y="19671145"/>
          <a:ext cx="4123" cy="2421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373036</xdr:colOff>
      <xdr:row>580</xdr:row>
      <xdr:rowOff>29340</xdr:rowOff>
    </xdr:from>
    <xdr:to>
      <xdr:col>6</xdr:col>
      <xdr:colOff>377228</xdr:colOff>
      <xdr:row>581</xdr:row>
      <xdr:rowOff>104786</xdr:rowOff>
    </xdr:to>
    <xdr:cxnSp macro="">
      <xdr:nvCxnSpPr>
        <xdr:cNvPr id="24" name="Straight Arrow Connector 23">
          <a:extLst>
            <a:ext uri="{FF2B5EF4-FFF2-40B4-BE49-F238E27FC236}">
              <a16:creationId xmlns:a16="http://schemas.microsoft.com/office/drawing/2014/main" id="{15BA19D5-B172-4A98-7BCC-F6A56AC181A6}"/>
            </a:ext>
          </a:extLst>
        </xdr:cNvPr>
        <xdr:cNvCxnSpPr/>
      </xdr:nvCxnSpPr>
      <xdr:spPr>
        <a:xfrm>
          <a:off x="13523094125" y="129120858"/>
          <a:ext cx="4192" cy="27663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192805</xdr:colOff>
      <xdr:row>580</xdr:row>
      <xdr:rowOff>50297</xdr:rowOff>
    </xdr:from>
    <xdr:to>
      <xdr:col>5</xdr:col>
      <xdr:colOff>196997</xdr:colOff>
      <xdr:row>581</xdr:row>
      <xdr:rowOff>125743</xdr:rowOff>
    </xdr:to>
    <xdr:cxnSp macro="">
      <xdr:nvCxnSpPr>
        <xdr:cNvPr id="26" name="Straight Arrow Connector 25">
          <a:extLst>
            <a:ext uri="{FF2B5EF4-FFF2-40B4-BE49-F238E27FC236}">
              <a16:creationId xmlns:a16="http://schemas.microsoft.com/office/drawing/2014/main" id="{93C3AD37-DE6F-AD72-EE86-8CDDF0ABB778}"/>
            </a:ext>
          </a:extLst>
        </xdr:cNvPr>
        <xdr:cNvCxnSpPr/>
      </xdr:nvCxnSpPr>
      <xdr:spPr>
        <a:xfrm>
          <a:off x="13524100066" y="129141815"/>
          <a:ext cx="4192" cy="27663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733498</xdr:colOff>
      <xdr:row>580</xdr:row>
      <xdr:rowOff>37722</xdr:rowOff>
    </xdr:from>
    <xdr:to>
      <xdr:col>3</xdr:col>
      <xdr:colOff>737690</xdr:colOff>
      <xdr:row>581</xdr:row>
      <xdr:rowOff>113168</xdr:rowOff>
    </xdr:to>
    <xdr:cxnSp macro="">
      <xdr:nvCxnSpPr>
        <xdr:cNvPr id="28" name="Straight Arrow Connector 27">
          <a:extLst>
            <a:ext uri="{FF2B5EF4-FFF2-40B4-BE49-F238E27FC236}">
              <a16:creationId xmlns:a16="http://schemas.microsoft.com/office/drawing/2014/main" id="{B367475A-E1E2-B7E0-A543-B598D491FE9E}"/>
            </a:ext>
          </a:extLst>
        </xdr:cNvPr>
        <xdr:cNvCxnSpPr/>
      </xdr:nvCxnSpPr>
      <xdr:spPr>
        <a:xfrm>
          <a:off x="13525210792" y="129129240"/>
          <a:ext cx="4192" cy="27663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410758</xdr:colOff>
      <xdr:row>580</xdr:row>
      <xdr:rowOff>8382</xdr:rowOff>
    </xdr:from>
    <xdr:to>
      <xdr:col>2</xdr:col>
      <xdr:colOff>414950</xdr:colOff>
      <xdr:row>581</xdr:row>
      <xdr:rowOff>83828</xdr:rowOff>
    </xdr:to>
    <xdr:cxnSp macro="">
      <xdr:nvCxnSpPr>
        <xdr:cNvPr id="29" name="Straight Arrow Connector 28">
          <a:extLst>
            <a:ext uri="{FF2B5EF4-FFF2-40B4-BE49-F238E27FC236}">
              <a16:creationId xmlns:a16="http://schemas.microsoft.com/office/drawing/2014/main" id="{F7759B39-F842-4B6A-5535-E54BDD5AC014}"/>
            </a:ext>
          </a:extLst>
        </xdr:cNvPr>
        <xdr:cNvCxnSpPr/>
      </xdr:nvCxnSpPr>
      <xdr:spPr>
        <a:xfrm>
          <a:off x="13526359241" y="129099900"/>
          <a:ext cx="4192" cy="27663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303865</xdr:colOff>
      <xdr:row>97</xdr:row>
      <xdr:rowOff>109080</xdr:rowOff>
    </xdr:from>
    <xdr:to>
      <xdr:col>6</xdr:col>
      <xdr:colOff>818098</xdr:colOff>
      <xdr:row>97</xdr:row>
      <xdr:rowOff>128558</xdr:rowOff>
    </xdr:to>
    <xdr:cxnSp macro="">
      <xdr:nvCxnSpPr>
        <xdr:cNvPr id="21" name="Straight Arrow Connector 20">
          <a:extLst>
            <a:ext uri="{FF2B5EF4-FFF2-40B4-BE49-F238E27FC236}">
              <a16:creationId xmlns:a16="http://schemas.microsoft.com/office/drawing/2014/main" id="{15943BB0-3E36-7896-F1A7-53A05E550478}"/>
            </a:ext>
          </a:extLst>
        </xdr:cNvPr>
        <xdr:cNvCxnSpPr/>
      </xdr:nvCxnSpPr>
      <xdr:spPr>
        <a:xfrm flipV="1">
          <a:off x="13525601288" y="25641534"/>
          <a:ext cx="7082393" cy="19478"/>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257116</xdr:colOff>
      <xdr:row>91</xdr:row>
      <xdr:rowOff>116870</xdr:rowOff>
    </xdr:from>
    <xdr:to>
      <xdr:col>5</xdr:col>
      <xdr:colOff>494755</xdr:colOff>
      <xdr:row>92</xdr:row>
      <xdr:rowOff>163618</xdr:rowOff>
    </xdr:to>
    <xdr:sp macro="" textlink="">
      <xdr:nvSpPr>
        <xdr:cNvPr id="30" name="Oval 29">
          <a:extLst>
            <a:ext uri="{FF2B5EF4-FFF2-40B4-BE49-F238E27FC236}">
              <a16:creationId xmlns:a16="http://schemas.microsoft.com/office/drawing/2014/main" id="{C19AFB1F-7C74-63E8-A5AE-156F9851290E}"/>
            </a:ext>
          </a:extLst>
        </xdr:cNvPr>
        <xdr:cNvSpPr/>
      </xdr:nvSpPr>
      <xdr:spPr>
        <a:xfrm>
          <a:off x="13526750521" y="24433864"/>
          <a:ext cx="237639" cy="2493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3</xdr:col>
      <xdr:colOff>292177</xdr:colOff>
      <xdr:row>91</xdr:row>
      <xdr:rowOff>116870</xdr:rowOff>
    </xdr:from>
    <xdr:to>
      <xdr:col>3</xdr:col>
      <xdr:colOff>529816</xdr:colOff>
      <xdr:row>92</xdr:row>
      <xdr:rowOff>163618</xdr:rowOff>
    </xdr:to>
    <xdr:sp macro="" textlink="">
      <xdr:nvSpPr>
        <xdr:cNvPr id="31" name="Oval 30">
          <a:extLst>
            <a:ext uri="{FF2B5EF4-FFF2-40B4-BE49-F238E27FC236}">
              <a16:creationId xmlns:a16="http://schemas.microsoft.com/office/drawing/2014/main" id="{C6C75A97-EB2C-A504-1686-1BA4884CA8BD}"/>
            </a:ext>
          </a:extLst>
        </xdr:cNvPr>
        <xdr:cNvSpPr/>
      </xdr:nvSpPr>
      <xdr:spPr>
        <a:xfrm>
          <a:off x="13528367239" y="24433864"/>
          <a:ext cx="237639" cy="2493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3</xdr:col>
      <xdr:colOff>327238</xdr:colOff>
      <xdr:row>97</xdr:row>
      <xdr:rowOff>124663</xdr:rowOff>
    </xdr:from>
    <xdr:to>
      <xdr:col>3</xdr:col>
      <xdr:colOff>486962</xdr:colOff>
      <xdr:row>99</xdr:row>
      <xdr:rowOff>85706</xdr:rowOff>
    </xdr:to>
    <xdr:sp macro="" textlink="">
      <xdr:nvSpPr>
        <xdr:cNvPr id="32" name="Down Arrow 31">
          <a:extLst>
            <a:ext uri="{FF2B5EF4-FFF2-40B4-BE49-F238E27FC236}">
              <a16:creationId xmlns:a16="http://schemas.microsoft.com/office/drawing/2014/main" id="{4DAFBF59-F71F-90CC-FC00-8282FC56438F}"/>
            </a:ext>
          </a:extLst>
        </xdr:cNvPr>
        <xdr:cNvSpPr/>
      </xdr:nvSpPr>
      <xdr:spPr>
        <a:xfrm>
          <a:off x="13528410093" y="25657117"/>
          <a:ext cx="159724" cy="36619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1121963</xdr:colOff>
      <xdr:row>91</xdr:row>
      <xdr:rowOff>62330</xdr:rowOff>
    </xdr:from>
    <xdr:to>
      <xdr:col>0</xdr:col>
      <xdr:colOff>1359602</xdr:colOff>
      <xdr:row>92</xdr:row>
      <xdr:rowOff>109078</xdr:rowOff>
    </xdr:to>
    <xdr:sp macro="" textlink="">
      <xdr:nvSpPr>
        <xdr:cNvPr id="33" name="Oval 32">
          <a:extLst>
            <a:ext uri="{FF2B5EF4-FFF2-40B4-BE49-F238E27FC236}">
              <a16:creationId xmlns:a16="http://schemas.microsoft.com/office/drawing/2014/main" id="{104270F1-6E99-FB64-33A7-DE998D3864B1}"/>
            </a:ext>
          </a:extLst>
        </xdr:cNvPr>
        <xdr:cNvSpPr/>
      </xdr:nvSpPr>
      <xdr:spPr>
        <a:xfrm>
          <a:off x="13531627944" y="24379324"/>
          <a:ext cx="237639" cy="2493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4</a:t>
          </a:r>
          <a:endParaRPr lang="en-US" sz="1100"/>
        </a:p>
      </xdr:txBody>
    </xdr:sp>
    <xdr:clientData/>
  </xdr:twoCellAnchor>
  <xdr:twoCellAnchor>
    <xdr:from>
      <xdr:col>1</xdr:col>
      <xdr:colOff>311656</xdr:colOff>
      <xdr:row>91</xdr:row>
      <xdr:rowOff>74017</xdr:rowOff>
    </xdr:from>
    <xdr:to>
      <xdr:col>1</xdr:col>
      <xdr:colOff>549295</xdr:colOff>
      <xdr:row>92</xdr:row>
      <xdr:rowOff>120765</xdr:rowOff>
    </xdr:to>
    <xdr:sp macro="" textlink="">
      <xdr:nvSpPr>
        <xdr:cNvPr id="34" name="Oval 33">
          <a:extLst>
            <a:ext uri="{FF2B5EF4-FFF2-40B4-BE49-F238E27FC236}">
              <a16:creationId xmlns:a16="http://schemas.microsoft.com/office/drawing/2014/main" id="{C2C6923C-FF78-860F-7464-30E9BA551A77}"/>
            </a:ext>
          </a:extLst>
        </xdr:cNvPr>
        <xdr:cNvSpPr/>
      </xdr:nvSpPr>
      <xdr:spPr>
        <a:xfrm>
          <a:off x="13529999539" y="24391011"/>
          <a:ext cx="237639" cy="2493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1</xdr:col>
      <xdr:colOff>276594</xdr:colOff>
      <xdr:row>97</xdr:row>
      <xdr:rowOff>105185</xdr:rowOff>
    </xdr:from>
    <xdr:to>
      <xdr:col>1</xdr:col>
      <xdr:colOff>436318</xdr:colOff>
      <xdr:row>99</xdr:row>
      <xdr:rowOff>66228</xdr:rowOff>
    </xdr:to>
    <xdr:sp macro="" textlink="">
      <xdr:nvSpPr>
        <xdr:cNvPr id="35" name="Down Arrow 34">
          <a:extLst>
            <a:ext uri="{FF2B5EF4-FFF2-40B4-BE49-F238E27FC236}">
              <a16:creationId xmlns:a16="http://schemas.microsoft.com/office/drawing/2014/main" id="{3736326B-0FB3-94B4-64C9-5F3F9A9A1E02}"/>
            </a:ext>
          </a:extLst>
        </xdr:cNvPr>
        <xdr:cNvSpPr/>
      </xdr:nvSpPr>
      <xdr:spPr>
        <a:xfrm>
          <a:off x="13530112516" y="25637639"/>
          <a:ext cx="159724" cy="36619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1110275</xdr:colOff>
      <xdr:row>97</xdr:row>
      <xdr:rowOff>109080</xdr:rowOff>
    </xdr:from>
    <xdr:to>
      <xdr:col>0</xdr:col>
      <xdr:colOff>1269999</xdr:colOff>
      <xdr:row>99</xdr:row>
      <xdr:rowOff>70123</xdr:rowOff>
    </xdr:to>
    <xdr:sp macro="" textlink="">
      <xdr:nvSpPr>
        <xdr:cNvPr id="36" name="Down Arrow 35">
          <a:extLst>
            <a:ext uri="{FF2B5EF4-FFF2-40B4-BE49-F238E27FC236}">
              <a16:creationId xmlns:a16="http://schemas.microsoft.com/office/drawing/2014/main" id="{3571FCB7-7FA4-E588-C94A-9C591058C609}"/>
            </a:ext>
          </a:extLst>
        </xdr:cNvPr>
        <xdr:cNvSpPr/>
      </xdr:nvSpPr>
      <xdr:spPr>
        <a:xfrm>
          <a:off x="13531717547" y="25641534"/>
          <a:ext cx="159724" cy="36619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0</xdr:col>
      <xdr:colOff>685644</xdr:colOff>
      <xdr:row>99</xdr:row>
      <xdr:rowOff>115762</xdr:rowOff>
    </xdr:from>
    <xdr:to>
      <xdr:col>0</xdr:col>
      <xdr:colOff>1807607</xdr:colOff>
      <xdr:row>104</xdr:row>
      <xdr:rowOff>172657</xdr:rowOff>
    </xdr:to>
    <xdr:pic>
      <xdr:nvPicPr>
        <xdr:cNvPr id="37" name="Picture 36">
          <a:extLst>
            <a:ext uri="{FF2B5EF4-FFF2-40B4-BE49-F238E27FC236}">
              <a16:creationId xmlns:a16="http://schemas.microsoft.com/office/drawing/2014/main" id="{9F4F6594-F7A8-3AA1-1686-37342CC3A5F1}"/>
            </a:ext>
          </a:extLst>
        </xdr:cNvPr>
        <xdr:cNvPicPr>
          <a:picLocks noChangeAspect="1"/>
        </xdr:cNvPicPr>
      </xdr:nvPicPr>
      <xdr:blipFill>
        <a:blip xmlns:r="http://schemas.openxmlformats.org/officeDocument/2006/relationships" r:embed="rId2"/>
        <a:stretch>
          <a:fillRect/>
        </a:stretch>
      </xdr:blipFill>
      <xdr:spPr>
        <a:xfrm>
          <a:off x="13531179939" y="26053369"/>
          <a:ext cx="1121963" cy="1069779"/>
        </a:xfrm>
        <a:prstGeom prst="rect">
          <a:avLst/>
        </a:prstGeom>
      </xdr:spPr>
    </xdr:pic>
    <xdr:clientData/>
  </xdr:twoCellAnchor>
  <xdr:twoCellAnchor editAs="oneCell">
    <xdr:from>
      <xdr:col>0</xdr:col>
      <xdr:colOff>787565</xdr:colOff>
      <xdr:row>273</xdr:row>
      <xdr:rowOff>20617</xdr:rowOff>
    </xdr:from>
    <xdr:to>
      <xdr:col>0</xdr:col>
      <xdr:colOff>1531421</xdr:colOff>
      <xdr:row>274</xdr:row>
      <xdr:rowOff>49480</xdr:rowOff>
    </xdr:to>
    <xdr:pic>
      <xdr:nvPicPr>
        <xdr:cNvPr id="38" name="Picture 37">
          <a:extLst>
            <a:ext uri="{FF2B5EF4-FFF2-40B4-BE49-F238E27FC236}">
              <a16:creationId xmlns:a16="http://schemas.microsoft.com/office/drawing/2014/main" id="{0424A276-0B65-0668-870C-12706CBAB32E}"/>
            </a:ext>
          </a:extLst>
        </xdr:cNvPr>
        <xdr:cNvPicPr>
          <a:picLocks noChangeAspect="1"/>
        </xdr:cNvPicPr>
      </xdr:nvPicPr>
      <xdr:blipFill>
        <a:blip xmlns:r="http://schemas.openxmlformats.org/officeDocument/2006/relationships" r:embed="rId3"/>
        <a:stretch>
          <a:fillRect/>
        </a:stretch>
      </xdr:blipFill>
      <xdr:spPr>
        <a:xfrm>
          <a:off x="13511561339" y="67293507"/>
          <a:ext cx="743856" cy="676233"/>
        </a:xfrm>
        <a:prstGeom prst="rect">
          <a:avLst/>
        </a:prstGeom>
      </xdr:spPr>
    </xdr:pic>
    <xdr:clientData/>
  </xdr:twoCellAnchor>
  <xdr:twoCellAnchor>
    <xdr:from>
      <xdr:col>0</xdr:col>
      <xdr:colOff>263896</xdr:colOff>
      <xdr:row>274</xdr:row>
      <xdr:rowOff>160812</xdr:rowOff>
    </xdr:from>
    <xdr:to>
      <xdr:col>0</xdr:col>
      <xdr:colOff>2234870</xdr:colOff>
      <xdr:row>281</xdr:row>
      <xdr:rowOff>20617</xdr:rowOff>
    </xdr:to>
    <xdr:sp macro="" textlink="">
      <xdr:nvSpPr>
        <xdr:cNvPr id="39" name="Rounded Rectangular Callout 38">
          <a:extLst>
            <a:ext uri="{FF2B5EF4-FFF2-40B4-BE49-F238E27FC236}">
              <a16:creationId xmlns:a16="http://schemas.microsoft.com/office/drawing/2014/main" id="{B742F30E-6C81-5178-A457-B208D90B9075}"/>
            </a:ext>
          </a:extLst>
        </xdr:cNvPr>
        <xdr:cNvSpPr/>
      </xdr:nvSpPr>
      <xdr:spPr>
        <a:xfrm>
          <a:off x="13510857890" y="68081072"/>
          <a:ext cx="1970974" cy="1286493"/>
        </a:xfrm>
        <a:prstGeom prst="wedgeRoundRectCallout">
          <a:avLst>
            <a:gd name="adj1" fmla="val -3469"/>
            <a:gd name="adj2" fmla="val -75962"/>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טיפ מהדוקטור! כאשר רושמים הוצאות פחת עבור השנה - מעדכנים</a:t>
          </a:r>
          <a:r>
            <a:rPr lang="he-IL" sz="1100" baseline="0"/>
            <a:t> (מגדילים) את הפחת הנצבר בהתאם, וכן דואגים לפתוח שורה חדשה שתקרא הוצאות פחת. </a:t>
          </a:r>
          <a:endParaRPr lang="en-US" sz="1100"/>
        </a:p>
      </xdr:txBody>
    </xdr:sp>
    <xdr:clientData/>
  </xdr:twoCellAnchor>
  <xdr:twoCellAnchor editAs="oneCell">
    <xdr:from>
      <xdr:col>0</xdr:col>
      <xdr:colOff>272142</xdr:colOff>
      <xdr:row>317</xdr:row>
      <xdr:rowOff>16494</xdr:rowOff>
    </xdr:from>
    <xdr:to>
      <xdr:col>0</xdr:col>
      <xdr:colOff>1173842</xdr:colOff>
      <xdr:row>321</xdr:row>
      <xdr:rowOff>186212</xdr:rowOff>
    </xdr:to>
    <xdr:pic>
      <xdr:nvPicPr>
        <xdr:cNvPr id="40" name="Picture 39">
          <a:extLst>
            <a:ext uri="{FF2B5EF4-FFF2-40B4-BE49-F238E27FC236}">
              <a16:creationId xmlns:a16="http://schemas.microsoft.com/office/drawing/2014/main" id="{AF8A3B69-E872-AFBC-FF39-3EC75D3E28AB}"/>
            </a:ext>
          </a:extLst>
        </xdr:cNvPr>
        <xdr:cNvPicPr>
          <a:picLocks noChangeAspect="1"/>
        </xdr:cNvPicPr>
      </xdr:nvPicPr>
      <xdr:blipFill>
        <a:blip xmlns:r="http://schemas.openxmlformats.org/officeDocument/2006/relationships" r:embed="rId4"/>
        <a:stretch>
          <a:fillRect/>
        </a:stretch>
      </xdr:blipFill>
      <xdr:spPr>
        <a:xfrm>
          <a:off x="13511918918" y="76637078"/>
          <a:ext cx="901700" cy="977900"/>
        </a:xfrm>
        <a:prstGeom prst="rect">
          <a:avLst/>
        </a:prstGeom>
      </xdr:spPr>
    </xdr:pic>
    <xdr:clientData/>
  </xdr:twoCellAnchor>
  <xdr:twoCellAnchor>
    <xdr:from>
      <xdr:col>0</xdr:col>
      <xdr:colOff>931884</xdr:colOff>
      <xdr:row>313</xdr:row>
      <xdr:rowOff>197922</xdr:rowOff>
    </xdr:from>
    <xdr:to>
      <xdr:col>0</xdr:col>
      <xdr:colOff>2288475</xdr:colOff>
      <xdr:row>318</xdr:row>
      <xdr:rowOff>53605</xdr:rowOff>
    </xdr:to>
    <xdr:sp macro="" textlink="">
      <xdr:nvSpPr>
        <xdr:cNvPr id="41" name="Rounded Rectangular Callout 40">
          <a:extLst>
            <a:ext uri="{FF2B5EF4-FFF2-40B4-BE49-F238E27FC236}">
              <a16:creationId xmlns:a16="http://schemas.microsoft.com/office/drawing/2014/main" id="{FC267E48-06C4-CFBE-B841-83F1D3356EDF}"/>
            </a:ext>
          </a:extLst>
        </xdr:cNvPr>
        <xdr:cNvSpPr/>
      </xdr:nvSpPr>
      <xdr:spPr>
        <a:xfrm>
          <a:off x="13510804285" y="76010325"/>
          <a:ext cx="1356591" cy="865910"/>
        </a:xfrm>
        <a:prstGeom prst="wedgeRoundRectCallout">
          <a:avLst>
            <a:gd name="adj1" fmla="val 52307"/>
            <a:gd name="adj2" fmla="val 55017"/>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במסגרת העדכון: מלאי הפתיחה יורד מהנכסים והשימוש בו מהווה הוצאה</a:t>
          </a:r>
          <a:endParaRPr lang="en-US" sz="1100"/>
        </a:p>
      </xdr:txBody>
    </xdr:sp>
    <xdr:clientData/>
  </xdr:twoCellAnchor>
  <xdr:twoCellAnchor>
    <xdr:from>
      <xdr:col>0</xdr:col>
      <xdr:colOff>948377</xdr:colOff>
      <xdr:row>319</xdr:row>
      <xdr:rowOff>185552</xdr:rowOff>
    </xdr:from>
    <xdr:to>
      <xdr:col>0</xdr:col>
      <xdr:colOff>2304968</xdr:colOff>
      <xdr:row>324</xdr:row>
      <xdr:rowOff>185551</xdr:rowOff>
    </xdr:to>
    <xdr:sp macro="" textlink="">
      <xdr:nvSpPr>
        <xdr:cNvPr id="42" name="Rounded Rectangular Callout 41">
          <a:extLst>
            <a:ext uri="{FF2B5EF4-FFF2-40B4-BE49-F238E27FC236}">
              <a16:creationId xmlns:a16="http://schemas.microsoft.com/office/drawing/2014/main" id="{9E4DAD4B-FBFD-FC6A-F8C8-4386BE72652D}"/>
            </a:ext>
          </a:extLst>
        </xdr:cNvPr>
        <xdr:cNvSpPr/>
      </xdr:nvSpPr>
      <xdr:spPr>
        <a:xfrm>
          <a:off x="13510787792" y="77210227"/>
          <a:ext cx="1356591" cy="1010227"/>
        </a:xfrm>
        <a:prstGeom prst="wedgeRoundRectCallout">
          <a:avLst>
            <a:gd name="adj1" fmla="val 53523"/>
            <a:gd name="adj2" fmla="val -4403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במסגרת העדכון: מלאי הסגירה הוא נכס לתום השנה, וקיומו מקטין את עלות המכר</a:t>
          </a:r>
          <a:endParaRPr lang="en-US" sz="1100"/>
        </a:p>
      </xdr:txBody>
    </xdr:sp>
    <xdr:clientData/>
  </xdr:twoCellAnchor>
  <xdr:twoCellAnchor>
    <xdr:from>
      <xdr:col>1</xdr:col>
      <xdr:colOff>712541</xdr:colOff>
      <xdr:row>439</xdr:row>
      <xdr:rowOff>104785</xdr:rowOff>
    </xdr:from>
    <xdr:to>
      <xdr:col>2</xdr:col>
      <xdr:colOff>155082</xdr:colOff>
      <xdr:row>440</xdr:row>
      <xdr:rowOff>138316</xdr:rowOff>
    </xdr:to>
    <xdr:sp macro="" textlink="">
      <xdr:nvSpPr>
        <xdr:cNvPr id="43" name="Oval 42">
          <a:extLst>
            <a:ext uri="{FF2B5EF4-FFF2-40B4-BE49-F238E27FC236}">
              <a16:creationId xmlns:a16="http://schemas.microsoft.com/office/drawing/2014/main" id="{6D5167F8-F3B3-DD96-96C5-B1D73E138CA6}"/>
            </a:ext>
          </a:extLst>
        </xdr:cNvPr>
        <xdr:cNvSpPr/>
      </xdr:nvSpPr>
      <xdr:spPr>
        <a:xfrm>
          <a:off x="13526619109" y="104852541"/>
          <a:ext cx="268251" cy="25148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א</a:t>
          </a:r>
          <a:endParaRPr lang="en-US" sz="1100"/>
        </a:p>
      </xdr:txBody>
    </xdr:sp>
    <xdr:clientData/>
  </xdr:twoCellAnchor>
  <xdr:twoCellAnchor>
    <xdr:from>
      <xdr:col>5</xdr:col>
      <xdr:colOff>666435</xdr:colOff>
      <xdr:row>439</xdr:row>
      <xdr:rowOff>104785</xdr:rowOff>
    </xdr:from>
    <xdr:to>
      <xdr:col>6</xdr:col>
      <xdr:colOff>108976</xdr:colOff>
      <xdr:row>440</xdr:row>
      <xdr:rowOff>138316</xdr:rowOff>
    </xdr:to>
    <xdr:sp macro="" textlink="">
      <xdr:nvSpPr>
        <xdr:cNvPr id="44" name="Oval 43">
          <a:extLst>
            <a:ext uri="{FF2B5EF4-FFF2-40B4-BE49-F238E27FC236}">
              <a16:creationId xmlns:a16="http://schemas.microsoft.com/office/drawing/2014/main" id="{72B5BC78-FE80-4061-AA15-37389267ED89}"/>
            </a:ext>
          </a:extLst>
        </xdr:cNvPr>
        <xdr:cNvSpPr/>
      </xdr:nvSpPr>
      <xdr:spPr>
        <a:xfrm>
          <a:off x="13523362377" y="104852541"/>
          <a:ext cx="268251" cy="25148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ב</a:t>
          </a:r>
          <a:endParaRPr lang="en-US" sz="1100"/>
        </a:p>
      </xdr:txBody>
    </xdr:sp>
    <xdr:clientData/>
  </xdr:twoCellAnchor>
  <xdr:twoCellAnchor>
    <xdr:from>
      <xdr:col>5</xdr:col>
      <xdr:colOff>658053</xdr:colOff>
      <xdr:row>436</xdr:row>
      <xdr:rowOff>205380</xdr:rowOff>
    </xdr:from>
    <xdr:to>
      <xdr:col>6</xdr:col>
      <xdr:colOff>100594</xdr:colOff>
      <xdr:row>438</xdr:row>
      <xdr:rowOff>20957</xdr:rowOff>
    </xdr:to>
    <xdr:sp macro="" textlink="">
      <xdr:nvSpPr>
        <xdr:cNvPr id="45" name="Oval 44">
          <a:extLst>
            <a:ext uri="{FF2B5EF4-FFF2-40B4-BE49-F238E27FC236}">
              <a16:creationId xmlns:a16="http://schemas.microsoft.com/office/drawing/2014/main" id="{C3212F0F-7548-EB58-886E-FD954539CC40}"/>
            </a:ext>
          </a:extLst>
        </xdr:cNvPr>
        <xdr:cNvSpPr/>
      </xdr:nvSpPr>
      <xdr:spPr>
        <a:xfrm>
          <a:off x="13523370759" y="104316040"/>
          <a:ext cx="268251" cy="25148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ג</a:t>
          </a:r>
          <a:endParaRPr lang="en-US" sz="1100"/>
        </a:p>
      </xdr:txBody>
    </xdr:sp>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0</xdr:colOff>
      <xdr:row>77</xdr:row>
      <xdr:rowOff>23495</xdr:rowOff>
    </xdr:from>
    <xdr:to>
      <xdr:col>5</xdr:col>
      <xdr:colOff>581799</xdr:colOff>
      <xdr:row>82</xdr:row>
      <xdr:rowOff>177467</xdr:rowOff>
    </xdr:to>
    <xdr:pic>
      <xdr:nvPicPr>
        <xdr:cNvPr id="2" name="Picture 1">
          <a:extLst>
            <a:ext uri="{FF2B5EF4-FFF2-40B4-BE49-F238E27FC236}">
              <a16:creationId xmlns:a16="http://schemas.microsoft.com/office/drawing/2014/main" id="{D49D10F0-0014-0E02-3BB8-F8BE65A79023}"/>
            </a:ext>
          </a:extLst>
        </xdr:cNvPr>
        <xdr:cNvPicPr>
          <a:picLocks noChangeAspect="1"/>
        </xdr:cNvPicPr>
      </xdr:nvPicPr>
      <xdr:blipFill>
        <a:blip xmlns:r="http://schemas.openxmlformats.org/officeDocument/2006/relationships" r:embed="rId1"/>
        <a:stretch>
          <a:fillRect/>
        </a:stretch>
      </xdr:blipFill>
      <xdr:spPr>
        <a:xfrm>
          <a:off x="13533808201" y="15790351"/>
          <a:ext cx="6399397" cy="1179955"/>
        </a:xfrm>
        <a:prstGeom prst="rect">
          <a:avLst/>
        </a:prstGeom>
      </xdr:spPr>
    </xdr:pic>
    <xdr:clientData/>
  </xdr:twoCellAnchor>
  <xdr:twoCellAnchor editAs="oneCell">
    <xdr:from>
      <xdr:col>0</xdr:col>
      <xdr:colOff>0</xdr:colOff>
      <xdr:row>103</xdr:row>
      <xdr:rowOff>161703</xdr:rowOff>
    </xdr:from>
    <xdr:to>
      <xdr:col>5</xdr:col>
      <xdr:colOff>770873</xdr:colOff>
      <xdr:row>106</xdr:row>
      <xdr:rowOff>200668</xdr:rowOff>
    </xdr:to>
    <xdr:pic>
      <xdr:nvPicPr>
        <xdr:cNvPr id="3" name="Picture 2">
          <a:extLst>
            <a:ext uri="{FF2B5EF4-FFF2-40B4-BE49-F238E27FC236}">
              <a16:creationId xmlns:a16="http://schemas.microsoft.com/office/drawing/2014/main" id="{4702D59F-CDE3-49CF-84EF-5BB481643C5D}"/>
            </a:ext>
          </a:extLst>
        </xdr:cNvPr>
        <xdr:cNvPicPr>
          <a:picLocks noChangeAspect="1"/>
        </xdr:cNvPicPr>
      </xdr:nvPicPr>
      <xdr:blipFill>
        <a:blip xmlns:r="http://schemas.openxmlformats.org/officeDocument/2006/relationships" r:embed="rId2"/>
        <a:stretch>
          <a:fillRect/>
        </a:stretch>
      </xdr:blipFill>
      <xdr:spPr>
        <a:xfrm>
          <a:off x="13548203532" y="21528595"/>
          <a:ext cx="6595711" cy="646505"/>
        </a:xfrm>
        <a:prstGeom prst="rect">
          <a:avLst/>
        </a:prstGeom>
      </xdr:spPr>
    </xdr:pic>
    <xdr:clientData/>
  </xdr:twoCellAnchor>
  <xdr:twoCellAnchor editAs="oneCell">
    <xdr:from>
      <xdr:col>0</xdr:col>
      <xdr:colOff>11093</xdr:colOff>
      <xdr:row>144</xdr:row>
      <xdr:rowOff>30744</xdr:rowOff>
    </xdr:from>
    <xdr:to>
      <xdr:col>5</xdr:col>
      <xdr:colOff>659958</xdr:colOff>
      <xdr:row>148</xdr:row>
      <xdr:rowOff>47803</xdr:rowOff>
    </xdr:to>
    <xdr:pic>
      <xdr:nvPicPr>
        <xdr:cNvPr id="4" name="Picture 3">
          <a:extLst>
            <a:ext uri="{FF2B5EF4-FFF2-40B4-BE49-F238E27FC236}">
              <a16:creationId xmlns:a16="http://schemas.microsoft.com/office/drawing/2014/main" id="{1AA8E865-65B7-E819-D14D-2DEFD62B263A}"/>
            </a:ext>
          </a:extLst>
        </xdr:cNvPr>
        <xdr:cNvPicPr>
          <a:picLocks noChangeAspect="1"/>
        </xdr:cNvPicPr>
      </xdr:nvPicPr>
      <xdr:blipFill>
        <a:blip xmlns:r="http://schemas.openxmlformats.org/officeDocument/2006/relationships" r:embed="rId3"/>
        <a:stretch>
          <a:fillRect/>
        </a:stretch>
      </xdr:blipFill>
      <xdr:spPr>
        <a:xfrm>
          <a:off x="13533730042" y="27149958"/>
          <a:ext cx="6466463" cy="837847"/>
        </a:xfrm>
        <a:prstGeom prst="rect">
          <a:avLst/>
        </a:prstGeom>
      </xdr:spPr>
    </xdr:pic>
    <xdr:clientData/>
  </xdr:twoCellAnchor>
  <xdr:twoCellAnchor>
    <xdr:from>
      <xdr:col>2</xdr:col>
      <xdr:colOff>343843</xdr:colOff>
      <xdr:row>164</xdr:row>
      <xdr:rowOff>110917</xdr:rowOff>
    </xdr:from>
    <xdr:to>
      <xdr:col>3</xdr:col>
      <xdr:colOff>0</xdr:colOff>
      <xdr:row>164</xdr:row>
      <xdr:rowOff>116463</xdr:rowOff>
    </xdr:to>
    <xdr:cxnSp macro="">
      <xdr:nvCxnSpPr>
        <xdr:cNvPr id="6" name="Straight Arrow Connector 5">
          <a:extLst>
            <a:ext uri="{FF2B5EF4-FFF2-40B4-BE49-F238E27FC236}">
              <a16:creationId xmlns:a16="http://schemas.microsoft.com/office/drawing/2014/main" id="{1FB3B3F9-875D-5433-322E-67EF68B53877}"/>
            </a:ext>
          </a:extLst>
        </xdr:cNvPr>
        <xdr:cNvCxnSpPr/>
      </xdr:nvCxnSpPr>
      <xdr:spPr>
        <a:xfrm flipH="1">
          <a:off x="13536142489" y="31345153"/>
          <a:ext cx="482489" cy="554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22183</xdr:colOff>
      <xdr:row>164</xdr:row>
      <xdr:rowOff>5545</xdr:rowOff>
    </xdr:from>
    <xdr:to>
      <xdr:col>6</xdr:col>
      <xdr:colOff>22183</xdr:colOff>
      <xdr:row>165</xdr:row>
      <xdr:rowOff>55459</xdr:rowOff>
    </xdr:to>
    <xdr:cxnSp macro="">
      <xdr:nvCxnSpPr>
        <xdr:cNvPr id="7" name="Straight Arrow Connector 6">
          <a:extLst>
            <a:ext uri="{FF2B5EF4-FFF2-40B4-BE49-F238E27FC236}">
              <a16:creationId xmlns:a16="http://schemas.microsoft.com/office/drawing/2014/main" id="{D22BE336-5568-8A60-0177-68D63917BD4E}"/>
            </a:ext>
          </a:extLst>
        </xdr:cNvPr>
        <xdr:cNvCxnSpPr/>
      </xdr:nvCxnSpPr>
      <xdr:spPr>
        <a:xfrm>
          <a:off x="13533641310" y="31239781"/>
          <a:ext cx="0" cy="25511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5547</xdr:colOff>
      <xdr:row>173</xdr:row>
      <xdr:rowOff>11093</xdr:rowOff>
    </xdr:from>
    <xdr:to>
      <xdr:col>5</xdr:col>
      <xdr:colOff>307302</xdr:colOff>
      <xdr:row>178</xdr:row>
      <xdr:rowOff>25400</xdr:rowOff>
    </xdr:to>
    <xdr:pic>
      <xdr:nvPicPr>
        <xdr:cNvPr id="10" name="Picture 9">
          <a:extLst>
            <a:ext uri="{FF2B5EF4-FFF2-40B4-BE49-F238E27FC236}">
              <a16:creationId xmlns:a16="http://schemas.microsoft.com/office/drawing/2014/main" id="{3CC2DC81-63B8-F904-11AB-AA3BEFDFF65E}"/>
            </a:ext>
          </a:extLst>
        </xdr:cNvPr>
        <xdr:cNvPicPr>
          <a:picLocks noChangeAspect="1"/>
        </xdr:cNvPicPr>
      </xdr:nvPicPr>
      <xdr:blipFill>
        <a:blip xmlns:r="http://schemas.openxmlformats.org/officeDocument/2006/relationships" r:embed="rId4"/>
        <a:stretch>
          <a:fillRect/>
        </a:stretch>
      </xdr:blipFill>
      <xdr:spPr>
        <a:xfrm>
          <a:off x="13534082698" y="33092097"/>
          <a:ext cx="6119353" cy="1040290"/>
        </a:xfrm>
        <a:prstGeom prst="rect">
          <a:avLst/>
        </a:prstGeom>
      </xdr:spPr>
    </xdr:pic>
    <xdr:clientData/>
  </xdr:twoCellAnchor>
  <xdr:twoCellAnchor editAs="oneCell">
    <xdr:from>
      <xdr:col>0</xdr:col>
      <xdr:colOff>1</xdr:colOff>
      <xdr:row>198</xdr:row>
      <xdr:rowOff>0</xdr:rowOff>
    </xdr:from>
    <xdr:to>
      <xdr:col>6</xdr:col>
      <xdr:colOff>199652</xdr:colOff>
      <xdr:row>203</xdr:row>
      <xdr:rowOff>150434</xdr:rowOff>
    </xdr:to>
    <xdr:pic>
      <xdr:nvPicPr>
        <xdr:cNvPr id="11" name="Picture 10">
          <a:extLst>
            <a:ext uri="{FF2B5EF4-FFF2-40B4-BE49-F238E27FC236}">
              <a16:creationId xmlns:a16="http://schemas.microsoft.com/office/drawing/2014/main" id="{A88BDB8D-CD6E-CA43-B0C8-4BE864E39480}"/>
            </a:ext>
          </a:extLst>
        </xdr:cNvPr>
        <xdr:cNvPicPr>
          <a:picLocks noChangeAspect="1"/>
        </xdr:cNvPicPr>
      </xdr:nvPicPr>
      <xdr:blipFill>
        <a:blip xmlns:r="http://schemas.openxmlformats.org/officeDocument/2006/relationships" r:embed="rId5"/>
        <a:stretch>
          <a:fillRect/>
        </a:stretch>
      </xdr:blipFill>
      <xdr:spPr>
        <a:xfrm>
          <a:off x="13533364016" y="37390131"/>
          <a:ext cx="6843581" cy="1176417"/>
        </a:xfrm>
        <a:prstGeom prst="rect">
          <a:avLst/>
        </a:prstGeom>
      </xdr:spPr>
    </xdr:pic>
    <xdr:clientData/>
  </xdr:twoCellAnchor>
  <xdr:twoCellAnchor>
    <xdr:from>
      <xdr:col>5</xdr:col>
      <xdr:colOff>648864</xdr:colOff>
      <xdr:row>229</xdr:row>
      <xdr:rowOff>5546</xdr:rowOff>
    </xdr:from>
    <xdr:to>
      <xdr:col>6</xdr:col>
      <xdr:colOff>94279</xdr:colOff>
      <xdr:row>230</xdr:row>
      <xdr:rowOff>77642</xdr:rowOff>
    </xdr:to>
    <xdr:cxnSp macro="">
      <xdr:nvCxnSpPr>
        <xdr:cNvPr id="13" name="Straight Arrow Connector 12">
          <a:extLst>
            <a:ext uri="{FF2B5EF4-FFF2-40B4-BE49-F238E27FC236}">
              <a16:creationId xmlns:a16="http://schemas.microsoft.com/office/drawing/2014/main" id="{8FD79341-FED1-A5BC-70A4-C031B303F02C}"/>
            </a:ext>
          </a:extLst>
        </xdr:cNvPr>
        <xdr:cNvCxnSpPr/>
      </xdr:nvCxnSpPr>
      <xdr:spPr>
        <a:xfrm flipH="1">
          <a:off x="13533569214" y="42935983"/>
          <a:ext cx="271747" cy="27729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271746</xdr:colOff>
      <xdr:row>228</xdr:row>
      <xdr:rowOff>188560</xdr:rowOff>
    </xdr:from>
    <xdr:to>
      <xdr:col>5</xdr:col>
      <xdr:colOff>282838</xdr:colOff>
      <xdr:row>231</xdr:row>
      <xdr:rowOff>22183</xdr:rowOff>
    </xdr:to>
    <xdr:cxnSp macro="">
      <xdr:nvCxnSpPr>
        <xdr:cNvPr id="14" name="Straight Arrow Connector 13">
          <a:extLst>
            <a:ext uri="{FF2B5EF4-FFF2-40B4-BE49-F238E27FC236}">
              <a16:creationId xmlns:a16="http://schemas.microsoft.com/office/drawing/2014/main" id="{1EEB9C66-CC78-4EF3-EBD8-C85EA2783BE0}"/>
            </a:ext>
          </a:extLst>
        </xdr:cNvPr>
        <xdr:cNvCxnSpPr/>
      </xdr:nvCxnSpPr>
      <xdr:spPr>
        <a:xfrm flipH="1">
          <a:off x="13534206987" y="42913800"/>
          <a:ext cx="11092" cy="44921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404847</xdr:colOff>
      <xdr:row>228</xdr:row>
      <xdr:rowOff>183014</xdr:rowOff>
    </xdr:from>
    <xdr:to>
      <xdr:col>4</xdr:col>
      <xdr:colOff>781964</xdr:colOff>
      <xdr:row>230</xdr:row>
      <xdr:rowOff>72096</xdr:rowOff>
    </xdr:to>
    <xdr:cxnSp macro="">
      <xdr:nvCxnSpPr>
        <xdr:cNvPr id="16" name="Straight Arrow Connector 15">
          <a:extLst>
            <a:ext uri="{FF2B5EF4-FFF2-40B4-BE49-F238E27FC236}">
              <a16:creationId xmlns:a16="http://schemas.microsoft.com/office/drawing/2014/main" id="{B1D61BE3-EE05-93AF-3C91-1F94D20D18D4}"/>
            </a:ext>
          </a:extLst>
        </xdr:cNvPr>
        <xdr:cNvCxnSpPr/>
      </xdr:nvCxnSpPr>
      <xdr:spPr>
        <a:xfrm>
          <a:off x="13534534193" y="42908254"/>
          <a:ext cx="377117" cy="2994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210742</xdr:colOff>
      <xdr:row>228</xdr:row>
      <xdr:rowOff>183014</xdr:rowOff>
    </xdr:from>
    <xdr:to>
      <xdr:col>4</xdr:col>
      <xdr:colOff>465850</xdr:colOff>
      <xdr:row>229</xdr:row>
      <xdr:rowOff>188559</xdr:rowOff>
    </xdr:to>
    <xdr:cxnSp macro="">
      <xdr:nvCxnSpPr>
        <xdr:cNvPr id="18" name="Straight Arrow Connector 17">
          <a:extLst>
            <a:ext uri="{FF2B5EF4-FFF2-40B4-BE49-F238E27FC236}">
              <a16:creationId xmlns:a16="http://schemas.microsoft.com/office/drawing/2014/main" id="{4461FEB2-1E22-316C-4095-6306F0CF1518}"/>
            </a:ext>
          </a:extLst>
        </xdr:cNvPr>
        <xdr:cNvCxnSpPr/>
      </xdr:nvCxnSpPr>
      <xdr:spPr>
        <a:xfrm>
          <a:off x="13534850307" y="42908254"/>
          <a:ext cx="1081440" cy="21074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16639</xdr:colOff>
      <xdr:row>254</xdr:row>
      <xdr:rowOff>27730</xdr:rowOff>
    </xdr:from>
    <xdr:to>
      <xdr:col>5</xdr:col>
      <xdr:colOff>438124</xdr:colOff>
      <xdr:row>257</xdr:row>
      <xdr:rowOff>67808</xdr:rowOff>
    </xdr:to>
    <xdr:pic>
      <xdr:nvPicPr>
        <xdr:cNvPr id="20" name="Picture 19">
          <a:extLst>
            <a:ext uri="{FF2B5EF4-FFF2-40B4-BE49-F238E27FC236}">
              <a16:creationId xmlns:a16="http://schemas.microsoft.com/office/drawing/2014/main" id="{D8E0D6A3-4063-EC5F-91F3-4B87B1A48741}"/>
            </a:ext>
          </a:extLst>
        </xdr:cNvPr>
        <xdr:cNvPicPr>
          <a:picLocks noChangeAspect="1"/>
        </xdr:cNvPicPr>
      </xdr:nvPicPr>
      <xdr:blipFill>
        <a:blip xmlns:r="http://schemas.openxmlformats.org/officeDocument/2006/relationships" r:embed="rId6"/>
        <a:stretch>
          <a:fillRect/>
        </a:stretch>
      </xdr:blipFill>
      <xdr:spPr>
        <a:xfrm>
          <a:off x="13534051702" y="48099171"/>
          <a:ext cx="6239083" cy="655667"/>
        </a:xfrm>
        <a:prstGeom prst="rect">
          <a:avLst/>
        </a:prstGeom>
      </xdr:spPr>
    </xdr:pic>
    <xdr:clientData/>
  </xdr:twoCellAnchor>
  <xdr:twoCellAnchor>
    <xdr:from>
      <xdr:col>4</xdr:col>
      <xdr:colOff>662608</xdr:colOff>
      <xdr:row>93</xdr:row>
      <xdr:rowOff>19720</xdr:rowOff>
    </xdr:from>
    <xdr:to>
      <xdr:col>5</xdr:col>
      <xdr:colOff>110435</xdr:colOff>
      <xdr:row>94</xdr:row>
      <xdr:rowOff>102546</xdr:rowOff>
    </xdr:to>
    <xdr:cxnSp macro="">
      <xdr:nvCxnSpPr>
        <xdr:cNvPr id="8" name="Straight Arrow Connector 7">
          <a:extLst>
            <a:ext uri="{FF2B5EF4-FFF2-40B4-BE49-F238E27FC236}">
              <a16:creationId xmlns:a16="http://schemas.microsoft.com/office/drawing/2014/main" id="{3B559AD6-C24D-99D6-5FAC-F50690AACDF1}"/>
            </a:ext>
          </a:extLst>
        </xdr:cNvPr>
        <xdr:cNvCxnSpPr/>
      </xdr:nvCxnSpPr>
      <xdr:spPr>
        <a:xfrm flipH="1">
          <a:off x="13501373944" y="19531180"/>
          <a:ext cx="272143" cy="28791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165652</xdr:colOff>
      <xdr:row>92</xdr:row>
      <xdr:rowOff>197206</xdr:rowOff>
    </xdr:from>
    <xdr:to>
      <xdr:col>4</xdr:col>
      <xdr:colOff>366800</xdr:colOff>
      <xdr:row>94</xdr:row>
      <xdr:rowOff>157764</xdr:rowOff>
    </xdr:to>
    <xdr:cxnSp macro="">
      <xdr:nvCxnSpPr>
        <xdr:cNvPr id="9" name="Straight Arrow Connector 8">
          <a:extLst>
            <a:ext uri="{FF2B5EF4-FFF2-40B4-BE49-F238E27FC236}">
              <a16:creationId xmlns:a16="http://schemas.microsoft.com/office/drawing/2014/main" id="{017A8D5E-D45A-991C-E566-6A67430EE7E6}"/>
            </a:ext>
          </a:extLst>
        </xdr:cNvPr>
        <xdr:cNvCxnSpPr/>
      </xdr:nvCxnSpPr>
      <xdr:spPr>
        <a:xfrm>
          <a:off x="13501941895" y="19503572"/>
          <a:ext cx="201148" cy="37074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453571</xdr:colOff>
      <xdr:row>92</xdr:row>
      <xdr:rowOff>193261</xdr:rowOff>
    </xdr:from>
    <xdr:to>
      <xdr:col>4</xdr:col>
      <xdr:colOff>122265</xdr:colOff>
      <xdr:row>94</xdr:row>
      <xdr:rowOff>173540</xdr:rowOff>
    </xdr:to>
    <xdr:cxnSp macro="">
      <xdr:nvCxnSpPr>
        <xdr:cNvPr id="15" name="Straight Arrow Connector 14">
          <a:extLst>
            <a:ext uri="{FF2B5EF4-FFF2-40B4-BE49-F238E27FC236}">
              <a16:creationId xmlns:a16="http://schemas.microsoft.com/office/drawing/2014/main" id="{5CC64D6F-0257-4309-1069-706322D952CB}"/>
            </a:ext>
          </a:extLst>
        </xdr:cNvPr>
        <xdr:cNvCxnSpPr/>
      </xdr:nvCxnSpPr>
      <xdr:spPr>
        <a:xfrm>
          <a:off x="13502186430" y="19499627"/>
          <a:ext cx="493011" cy="39046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299751</xdr:colOff>
      <xdr:row>92</xdr:row>
      <xdr:rowOff>193261</xdr:rowOff>
    </xdr:from>
    <xdr:to>
      <xdr:col>3</xdr:col>
      <xdr:colOff>299749</xdr:colOff>
      <xdr:row>94</xdr:row>
      <xdr:rowOff>173540</xdr:rowOff>
    </xdr:to>
    <xdr:cxnSp macro="">
      <xdr:nvCxnSpPr>
        <xdr:cNvPr id="19" name="Straight Arrow Connector 18">
          <a:extLst>
            <a:ext uri="{FF2B5EF4-FFF2-40B4-BE49-F238E27FC236}">
              <a16:creationId xmlns:a16="http://schemas.microsoft.com/office/drawing/2014/main" id="{5DBF1F9B-7408-4EC3-78B1-9AC5A3000DE6}"/>
            </a:ext>
          </a:extLst>
        </xdr:cNvPr>
        <xdr:cNvCxnSpPr/>
      </xdr:nvCxnSpPr>
      <xdr:spPr>
        <a:xfrm>
          <a:off x="13502833263" y="19499627"/>
          <a:ext cx="824315" cy="39046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480840</xdr:colOff>
      <xdr:row>125</xdr:row>
      <xdr:rowOff>73412</xdr:rowOff>
    </xdr:from>
    <xdr:to>
      <xdr:col>4</xdr:col>
      <xdr:colOff>293643</xdr:colOff>
      <xdr:row>126</xdr:row>
      <xdr:rowOff>77084</xdr:rowOff>
    </xdr:to>
    <xdr:sp macro="" textlink="">
      <xdr:nvSpPr>
        <xdr:cNvPr id="22" name="Left Brace 21">
          <a:extLst>
            <a:ext uri="{FF2B5EF4-FFF2-40B4-BE49-F238E27FC236}">
              <a16:creationId xmlns:a16="http://schemas.microsoft.com/office/drawing/2014/main" id="{DCA83BC5-768B-BB51-A197-03C321071A2D}"/>
            </a:ext>
          </a:extLst>
        </xdr:cNvPr>
        <xdr:cNvSpPr/>
      </xdr:nvSpPr>
      <xdr:spPr>
        <a:xfrm rot="5400000">
          <a:off x="13528038163" y="25236664"/>
          <a:ext cx="205550" cy="1464538"/>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557919</xdr:colOff>
      <xdr:row>128</xdr:row>
      <xdr:rowOff>176184</xdr:rowOff>
    </xdr:from>
    <xdr:to>
      <xdr:col>4</xdr:col>
      <xdr:colOff>561589</xdr:colOff>
      <xdr:row>129</xdr:row>
      <xdr:rowOff>154162</xdr:rowOff>
    </xdr:to>
    <xdr:cxnSp macro="">
      <xdr:nvCxnSpPr>
        <xdr:cNvPr id="24" name="Straight Arrow Connector 23">
          <a:extLst>
            <a:ext uri="{FF2B5EF4-FFF2-40B4-BE49-F238E27FC236}">
              <a16:creationId xmlns:a16="http://schemas.microsoft.com/office/drawing/2014/main" id="{833F1975-CFAB-D57D-5E99-8678ABCF82DD}"/>
            </a:ext>
          </a:extLst>
        </xdr:cNvPr>
        <xdr:cNvCxnSpPr/>
      </xdr:nvCxnSpPr>
      <xdr:spPr>
        <a:xfrm flipH="1">
          <a:off x="13527140723" y="26574566"/>
          <a:ext cx="3670" cy="1798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319336</xdr:colOff>
      <xdr:row>129</xdr:row>
      <xdr:rowOff>0</xdr:rowOff>
    </xdr:from>
    <xdr:to>
      <xdr:col>3</xdr:col>
      <xdr:colOff>323006</xdr:colOff>
      <xdr:row>129</xdr:row>
      <xdr:rowOff>179856</xdr:rowOff>
    </xdr:to>
    <xdr:cxnSp macro="">
      <xdr:nvCxnSpPr>
        <xdr:cNvPr id="25" name="Straight Arrow Connector 24">
          <a:extLst>
            <a:ext uri="{FF2B5EF4-FFF2-40B4-BE49-F238E27FC236}">
              <a16:creationId xmlns:a16="http://schemas.microsoft.com/office/drawing/2014/main" id="{FF277F17-339E-59DC-37AE-07CE9EA698A5}"/>
            </a:ext>
          </a:extLst>
        </xdr:cNvPr>
        <xdr:cNvCxnSpPr/>
      </xdr:nvCxnSpPr>
      <xdr:spPr>
        <a:xfrm flipH="1">
          <a:off x="13528205174" y="26600260"/>
          <a:ext cx="3670" cy="1798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370723</xdr:colOff>
      <xdr:row>129</xdr:row>
      <xdr:rowOff>3671</xdr:rowOff>
    </xdr:from>
    <xdr:to>
      <xdr:col>2</xdr:col>
      <xdr:colOff>374393</xdr:colOff>
      <xdr:row>129</xdr:row>
      <xdr:rowOff>183527</xdr:rowOff>
    </xdr:to>
    <xdr:cxnSp macro="">
      <xdr:nvCxnSpPr>
        <xdr:cNvPr id="26" name="Straight Arrow Connector 25">
          <a:extLst>
            <a:ext uri="{FF2B5EF4-FFF2-40B4-BE49-F238E27FC236}">
              <a16:creationId xmlns:a16="http://schemas.microsoft.com/office/drawing/2014/main" id="{0957A44C-3387-7078-128E-05B680995C74}"/>
            </a:ext>
          </a:extLst>
        </xdr:cNvPr>
        <xdr:cNvCxnSpPr/>
      </xdr:nvCxnSpPr>
      <xdr:spPr>
        <a:xfrm flipH="1">
          <a:off x="13528979654" y="26603931"/>
          <a:ext cx="3670" cy="1798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242255</xdr:colOff>
      <xdr:row>129</xdr:row>
      <xdr:rowOff>11012</xdr:rowOff>
    </xdr:from>
    <xdr:to>
      <xdr:col>1</xdr:col>
      <xdr:colOff>245925</xdr:colOff>
      <xdr:row>129</xdr:row>
      <xdr:rowOff>190868</xdr:rowOff>
    </xdr:to>
    <xdr:cxnSp macro="">
      <xdr:nvCxnSpPr>
        <xdr:cNvPr id="27" name="Straight Arrow Connector 26">
          <a:extLst>
            <a:ext uri="{FF2B5EF4-FFF2-40B4-BE49-F238E27FC236}">
              <a16:creationId xmlns:a16="http://schemas.microsoft.com/office/drawing/2014/main" id="{EB3E7682-C6F8-FAE3-3D23-6EC8FF865480}"/>
            </a:ext>
          </a:extLst>
        </xdr:cNvPr>
        <xdr:cNvCxnSpPr/>
      </xdr:nvCxnSpPr>
      <xdr:spPr>
        <a:xfrm flipH="1">
          <a:off x="13529933989" y="26611272"/>
          <a:ext cx="3670" cy="1798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625475</xdr:colOff>
      <xdr:row>186</xdr:row>
      <xdr:rowOff>184150</xdr:rowOff>
    </xdr:from>
    <xdr:to>
      <xdr:col>4</xdr:col>
      <xdr:colOff>628650</xdr:colOff>
      <xdr:row>188</xdr:row>
      <xdr:rowOff>104775</xdr:rowOff>
    </xdr:to>
    <xdr:cxnSp macro="">
      <xdr:nvCxnSpPr>
        <xdr:cNvPr id="29" name="Straight Arrow Connector 28">
          <a:extLst>
            <a:ext uri="{FF2B5EF4-FFF2-40B4-BE49-F238E27FC236}">
              <a16:creationId xmlns:a16="http://schemas.microsoft.com/office/drawing/2014/main" id="{3249E79D-2495-EA46-344E-72D8AAC7956A}"/>
            </a:ext>
          </a:extLst>
        </xdr:cNvPr>
        <xdr:cNvCxnSpPr/>
      </xdr:nvCxnSpPr>
      <xdr:spPr>
        <a:xfrm flipH="1">
          <a:off x="13521061350" y="38500050"/>
          <a:ext cx="3175" cy="327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79375</xdr:colOff>
      <xdr:row>186</xdr:row>
      <xdr:rowOff>190500</xdr:rowOff>
    </xdr:from>
    <xdr:to>
      <xdr:col>4</xdr:col>
      <xdr:colOff>92075</xdr:colOff>
      <xdr:row>190</xdr:row>
      <xdr:rowOff>92075</xdr:rowOff>
    </xdr:to>
    <xdr:cxnSp macro="">
      <xdr:nvCxnSpPr>
        <xdr:cNvPr id="30" name="Straight Arrow Connector 29">
          <a:extLst>
            <a:ext uri="{FF2B5EF4-FFF2-40B4-BE49-F238E27FC236}">
              <a16:creationId xmlns:a16="http://schemas.microsoft.com/office/drawing/2014/main" id="{1E003D28-36AF-83F3-5C5B-C32F0D9F5B2A}"/>
            </a:ext>
          </a:extLst>
        </xdr:cNvPr>
        <xdr:cNvCxnSpPr/>
      </xdr:nvCxnSpPr>
      <xdr:spPr>
        <a:xfrm flipH="1">
          <a:off x="13521597925" y="38506400"/>
          <a:ext cx="12700" cy="7143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396875</xdr:colOff>
      <xdr:row>186</xdr:row>
      <xdr:rowOff>161925</xdr:rowOff>
    </xdr:from>
    <xdr:to>
      <xdr:col>3</xdr:col>
      <xdr:colOff>400050</xdr:colOff>
      <xdr:row>188</xdr:row>
      <xdr:rowOff>82550</xdr:rowOff>
    </xdr:to>
    <xdr:cxnSp macro="">
      <xdr:nvCxnSpPr>
        <xdr:cNvPr id="32" name="Straight Arrow Connector 31">
          <a:extLst>
            <a:ext uri="{FF2B5EF4-FFF2-40B4-BE49-F238E27FC236}">
              <a16:creationId xmlns:a16="http://schemas.microsoft.com/office/drawing/2014/main" id="{EED43233-3F28-D483-2F7C-C123B3515245}"/>
            </a:ext>
          </a:extLst>
        </xdr:cNvPr>
        <xdr:cNvCxnSpPr/>
      </xdr:nvCxnSpPr>
      <xdr:spPr>
        <a:xfrm flipH="1">
          <a:off x="13522115450" y="38477825"/>
          <a:ext cx="3175" cy="327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473075</xdr:colOff>
      <xdr:row>186</xdr:row>
      <xdr:rowOff>177800</xdr:rowOff>
    </xdr:from>
    <xdr:to>
      <xdr:col>3</xdr:col>
      <xdr:colOff>66675</xdr:colOff>
      <xdr:row>187</xdr:row>
      <xdr:rowOff>152400</xdr:rowOff>
    </xdr:to>
    <xdr:cxnSp macro="">
      <xdr:nvCxnSpPr>
        <xdr:cNvPr id="33" name="Straight Arrow Connector 32">
          <a:extLst>
            <a:ext uri="{FF2B5EF4-FFF2-40B4-BE49-F238E27FC236}">
              <a16:creationId xmlns:a16="http://schemas.microsoft.com/office/drawing/2014/main" id="{563D7508-D87C-A6F4-286E-E5247DBFE352}"/>
            </a:ext>
          </a:extLst>
        </xdr:cNvPr>
        <xdr:cNvCxnSpPr/>
      </xdr:nvCxnSpPr>
      <xdr:spPr>
        <a:xfrm>
          <a:off x="13522448825" y="38493700"/>
          <a:ext cx="419100" cy="1778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706783</xdr:colOff>
      <xdr:row>218</xdr:row>
      <xdr:rowOff>11044</xdr:rowOff>
    </xdr:from>
    <xdr:to>
      <xdr:col>3</xdr:col>
      <xdr:colOff>710464</xdr:colOff>
      <xdr:row>219</xdr:row>
      <xdr:rowOff>92029</xdr:rowOff>
    </xdr:to>
    <xdr:cxnSp macro="">
      <xdr:nvCxnSpPr>
        <xdr:cNvPr id="36" name="Straight Arrow Connector 35">
          <a:extLst>
            <a:ext uri="{FF2B5EF4-FFF2-40B4-BE49-F238E27FC236}">
              <a16:creationId xmlns:a16="http://schemas.microsoft.com/office/drawing/2014/main" id="{FB0693DF-5E39-0378-D694-D5EBD33A914B}"/>
            </a:ext>
          </a:extLst>
        </xdr:cNvPr>
        <xdr:cNvCxnSpPr/>
      </xdr:nvCxnSpPr>
      <xdr:spPr>
        <a:xfrm flipH="1">
          <a:off x="13506729768" y="44346928"/>
          <a:ext cx="3681" cy="28344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541130</xdr:colOff>
      <xdr:row>217</xdr:row>
      <xdr:rowOff>180378</xdr:rowOff>
    </xdr:from>
    <xdr:to>
      <xdr:col>2</xdr:col>
      <xdr:colOff>544811</xdr:colOff>
      <xdr:row>219</xdr:row>
      <xdr:rowOff>58899</xdr:rowOff>
    </xdr:to>
    <xdr:cxnSp macro="">
      <xdr:nvCxnSpPr>
        <xdr:cNvPr id="37" name="Straight Arrow Connector 36">
          <a:extLst>
            <a:ext uri="{FF2B5EF4-FFF2-40B4-BE49-F238E27FC236}">
              <a16:creationId xmlns:a16="http://schemas.microsoft.com/office/drawing/2014/main" id="{F9D20452-A6F7-5493-11CB-5A7FD3E77396}"/>
            </a:ext>
          </a:extLst>
        </xdr:cNvPr>
        <xdr:cNvCxnSpPr/>
      </xdr:nvCxnSpPr>
      <xdr:spPr>
        <a:xfrm flipH="1">
          <a:off x="13507720000" y="44313798"/>
          <a:ext cx="3681" cy="28344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511681</xdr:colOff>
      <xdr:row>217</xdr:row>
      <xdr:rowOff>191421</xdr:rowOff>
    </xdr:from>
    <xdr:to>
      <xdr:col>2</xdr:col>
      <xdr:colOff>169333</xdr:colOff>
      <xdr:row>218</xdr:row>
      <xdr:rowOff>191420</xdr:rowOff>
    </xdr:to>
    <xdr:cxnSp macro="">
      <xdr:nvCxnSpPr>
        <xdr:cNvPr id="38" name="Straight Arrow Connector 37">
          <a:extLst>
            <a:ext uri="{FF2B5EF4-FFF2-40B4-BE49-F238E27FC236}">
              <a16:creationId xmlns:a16="http://schemas.microsoft.com/office/drawing/2014/main" id="{10026CAE-EB16-55DD-0506-BA3242914376}"/>
            </a:ext>
          </a:extLst>
        </xdr:cNvPr>
        <xdr:cNvCxnSpPr/>
      </xdr:nvCxnSpPr>
      <xdr:spPr>
        <a:xfrm>
          <a:off x="13508095478" y="44324841"/>
          <a:ext cx="482232" cy="20246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3.xml><?xml version="1.0" encoding="utf-8"?>
<xdr:wsDr xmlns:xdr="http://schemas.openxmlformats.org/drawingml/2006/spreadsheetDrawing" xmlns:a="http://schemas.openxmlformats.org/drawingml/2006/main">
  <xdr:twoCellAnchor>
    <xdr:from>
      <xdr:col>0</xdr:col>
      <xdr:colOff>127001</xdr:colOff>
      <xdr:row>5</xdr:row>
      <xdr:rowOff>98425</xdr:rowOff>
    </xdr:from>
    <xdr:to>
      <xdr:col>7</xdr:col>
      <xdr:colOff>533400</xdr:colOff>
      <xdr:row>12</xdr:row>
      <xdr:rowOff>88901</xdr:rowOff>
    </xdr:to>
    <xdr:sp macro="" textlink="">
      <xdr:nvSpPr>
        <xdr:cNvPr id="2" name="TextBox 1">
          <a:extLst>
            <a:ext uri="{FF2B5EF4-FFF2-40B4-BE49-F238E27FC236}">
              <a16:creationId xmlns:a16="http://schemas.microsoft.com/office/drawing/2014/main" id="{D59BD27B-52A3-2A41-BB98-8C169F523E4B}"/>
            </a:ext>
          </a:extLst>
        </xdr:cNvPr>
        <xdr:cNvSpPr txBox="1"/>
      </xdr:nvSpPr>
      <xdr:spPr>
        <a:xfrm>
          <a:off x="13518705500" y="2562225"/>
          <a:ext cx="6184899" cy="141287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he-IL" sz="1000">
            <a:effectLst/>
            <a:latin typeface="David" panose="020E0502060401010101" pitchFamily="34" charset="-79"/>
            <a:cs typeface="David" panose="020E0502060401010101" pitchFamily="34" charset="-79"/>
          </a:endParaRPr>
        </a:p>
        <a:p>
          <a:pPr rtl="1"/>
          <a:r>
            <a:rPr lang="he-IL" sz="1000" b="1">
              <a:solidFill>
                <a:schemeClr val="dk1"/>
              </a:solidFill>
              <a:effectLst/>
              <a:latin typeface="David" panose="020E0502060401010101" pitchFamily="34" charset="-79"/>
              <a:ea typeface="+mn-ea"/>
              <a:cs typeface="David" panose="020E0502060401010101" pitchFamily="34" charset="-79"/>
            </a:rPr>
            <a:t>שאלה 5 בחלק ב (10% מהציון הכולל)</a:t>
          </a:r>
          <a:endParaRPr lang="he-IL" sz="1000">
            <a:solidFill>
              <a:schemeClr val="dk1"/>
            </a:solidFill>
            <a:effectLst/>
            <a:latin typeface="David" panose="020E0502060401010101" pitchFamily="34" charset="-79"/>
            <a:ea typeface="+mn-ea"/>
            <a:cs typeface="David" panose="020E0502060401010101" pitchFamily="34" charset="-79"/>
          </a:endParaRPr>
        </a:p>
        <a:p>
          <a:endParaRPr lang="he-IL" sz="1000">
            <a:solidFill>
              <a:schemeClr val="dk1"/>
            </a:solidFill>
            <a:effectLst/>
            <a:latin typeface="David" panose="020E0502060401010101" pitchFamily="34" charset="-79"/>
            <a:ea typeface="+mn-ea"/>
            <a:cs typeface="David" panose="020E0502060401010101" pitchFamily="34" charset="-79"/>
          </a:endParaRPr>
        </a:p>
        <a:p>
          <a:pPr rtl="1"/>
          <a:r>
            <a:rPr lang="he-IL" sz="1000" b="1">
              <a:solidFill>
                <a:schemeClr val="dk1"/>
              </a:solidFill>
              <a:effectLst/>
              <a:latin typeface="David" panose="020E0502060401010101" pitchFamily="34" charset="-79"/>
              <a:ea typeface="+mn-ea"/>
              <a:cs typeface="David" panose="020E0502060401010101" pitchFamily="34" charset="-79"/>
            </a:rPr>
            <a:t>נושא: הון עצמי</a:t>
          </a:r>
          <a:endParaRPr lang="he-IL" sz="1000">
            <a:solidFill>
              <a:schemeClr val="dk1"/>
            </a:solidFill>
            <a:effectLst/>
            <a:latin typeface="David" panose="020E0502060401010101" pitchFamily="34" charset="-79"/>
            <a:ea typeface="+mn-ea"/>
            <a:cs typeface="David" panose="020E0502060401010101" pitchFamily="34" charset="-79"/>
          </a:endParaRPr>
        </a:p>
        <a:p>
          <a:pPr rtl="1"/>
          <a:r>
            <a:rPr lang="he-IL" sz="1000">
              <a:solidFill>
                <a:schemeClr val="dk1"/>
              </a:solidFill>
              <a:effectLst/>
              <a:latin typeface="David" panose="020E0502060401010101" pitchFamily="34" charset="-79"/>
              <a:ea typeface="+mn-ea"/>
              <a:cs typeface="David" panose="020E0502060401010101" pitchFamily="34" charset="-79"/>
            </a:rPr>
            <a:t>• ניתוח ובניית הדוח על השינויים בהון העצמי.</a:t>
          </a:r>
        </a:p>
        <a:p>
          <a:pPr rtl="1"/>
          <a:r>
            <a:rPr lang="he-IL" sz="1000">
              <a:solidFill>
                <a:schemeClr val="dk1"/>
              </a:solidFill>
              <a:effectLst/>
              <a:latin typeface="David" panose="020E0502060401010101" pitchFamily="34" charset="-79"/>
              <a:ea typeface="+mn-ea"/>
              <a:cs typeface="David" panose="020E0502060401010101" pitchFamily="34" charset="-79"/>
            </a:rPr>
            <a:t>• דגשים:</a:t>
          </a:r>
        </a:p>
        <a:p>
          <a:pPr rtl="1"/>
          <a:r>
            <a:rPr lang="he-IL" sz="1000">
              <a:solidFill>
                <a:schemeClr val="dk1"/>
              </a:solidFill>
              <a:effectLst/>
              <a:latin typeface="David" panose="020E0502060401010101" pitchFamily="34" charset="-79"/>
              <a:ea typeface="+mn-ea"/>
              <a:cs typeface="David" panose="020E0502060401010101" pitchFamily="34" charset="-79"/>
            </a:rPr>
            <a:t>• הון מניות, פרמיה ועלויות הנפקה (בקיזוז הפרמיה).</a:t>
          </a:r>
        </a:p>
        <a:p>
          <a:pPr rtl="1"/>
          <a:r>
            <a:rPr lang="he-IL" sz="1000">
              <a:solidFill>
                <a:schemeClr val="dk1"/>
              </a:solidFill>
              <a:effectLst/>
              <a:latin typeface="David" panose="020E0502060401010101" pitchFamily="34" charset="-79"/>
              <a:ea typeface="+mn-ea"/>
              <a:cs typeface="David" panose="020E0502060401010101" pitchFamily="34" charset="-79"/>
            </a:rPr>
            <a:t>• מניות הטבה (כנגד הפרמיה).</a:t>
          </a:r>
        </a:p>
        <a:p>
          <a:pPr rtl="1"/>
          <a:r>
            <a:rPr lang="he-IL" sz="1000">
              <a:solidFill>
                <a:schemeClr val="dk1"/>
              </a:solidFill>
              <a:effectLst/>
              <a:latin typeface="David" panose="020E0502060401010101" pitchFamily="34" charset="-79"/>
              <a:ea typeface="+mn-ea"/>
              <a:cs typeface="David" panose="020E0502060401010101" pitchFamily="34" charset="-79"/>
            </a:rPr>
            <a:t>• פיצול מניות ושינויים מבניים פשוטים.</a:t>
          </a:r>
        </a:p>
        <a:p>
          <a:pPr rtl="1"/>
          <a:r>
            <a:rPr lang="he-IL" sz="1000">
              <a:solidFill>
                <a:schemeClr val="dk1"/>
              </a:solidFill>
              <a:effectLst/>
              <a:latin typeface="David" panose="020E0502060401010101" pitchFamily="34" charset="-79"/>
              <a:ea typeface="+mn-ea"/>
              <a:cs typeface="David" panose="020E0502060401010101" pitchFamily="34" charset="-79"/>
            </a:rPr>
            <a:t>• ניתוח רווחים מחולקים ודיבידנדים.</a:t>
          </a:r>
          <a:br>
            <a:rPr lang="he-IL" sz="1000">
              <a:effectLst/>
              <a:latin typeface="David" panose="020E0502060401010101" pitchFamily="34" charset="-79"/>
              <a:cs typeface="David" panose="020E0502060401010101" pitchFamily="34" charset="-79"/>
            </a:rPr>
          </a:br>
          <a:endParaRPr lang="he-IL" sz="1000">
            <a:effectLst/>
            <a:latin typeface="David" panose="020E0502060401010101" pitchFamily="34" charset="-79"/>
            <a:cs typeface="David" panose="020E0502060401010101" pitchFamily="34" charset="-79"/>
          </a:endParaRPr>
        </a:p>
      </xdr:txBody>
    </xdr:sp>
    <xdr:clientData/>
  </xdr:twoCellAnchor>
  <xdr:twoCellAnchor>
    <xdr:from>
      <xdr:col>7</xdr:col>
      <xdr:colOff>10353</xdr:colOff>
      <xdr:row>30</xdr:row>
      <xdr:rowOff>200162</xdr:rowOff>
    </xdr:from>
    <xdr:to>
      <xdr:col>7</xdr:col>
      <xdr:colOff>483152</xdr:colOff>
      <xdr:row>32</xdr:row>
      <xdr:rowOff>3451</xdr:rowOff>
    </xdr:to>
    <xdr:sp macro="" textlink="">
      <xdr:nvSpPr>
        <xdr:cNvPr id="3" name="Down Arrow 2">
          <a:extLst>
            <a:ext uri="{FF2B5EF4-FFF2-40B4-BE49-F238E27FC236}">
              <a16:creationId xmlns:a16="http://schemas.microsoft.com/office/drawing/2014/main" id="{E68C19BB-CFB0-EA46-BFDE-B916E4892F11}"/>
            </a:ext>
          </a:extLst>
        </xdr:cNvPr>
        <xdr:cNvSpPr/>
      </xdr:nvSpPr>
      <xdr:spPr>
        <a:xfrm rot="5400000">
          <a:off x="13518887303" y="7726707"/>
          <a:ext cx="209689" cy="47279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6</xdr:col>
      <xdr:colOff>278409</xdr:colOff>
      <xdr:row>28</xdr:row>
      <xdr:rowOff>93585</xdr:rowOff>
    </xdr:from>
    <xdr:to>
      <xdr:col>6</xdr:col>
      <xdr:colOff>735074</xdr:colOff>
      <xdr:row>30</xdr:row>
      <xdr:rowOff>185731</xdr:rowOff>
    </xdr:to>
    <xdr:pic>
      <xdr:nvPicPr>
        <xdr:cNvPr id="4" name="Picture 3">
          <a:extLst>
            <a:ext uri="{FF2B5EF4-FFF2-40B4-BE49-F238E27FC236}">
              <a16:creationId xmlns:a16="http://schemas.microsoft.com/office/drawing/2014/main" id="{0CE9FAA5-58A3-984D-A16C-8CB5D987E3B5}"/>
            </a:ext>
          </a:extLst>
        </xdr:cNvPr>
        <xdr:cNvPicPr>
          <a:picLocks noChangeAspect="1"/>
        </xdr:cNvPicPr>
      </xdr:nvPicPr>
      <xdr:blipFill>
        <a:blip xmlns:r="http://schemas.openxmlformats.org/officeDocument/2006/relationships" r:embed="rId1"/>
        <a:stretch>
          <a:fillRect/>
        </a:stretch>
      </xdr:blipFill>
      <xdr:spPr>
        <a:xfrm>
          <a:off x="13519329326" y="7319885"/>
          <a:ext cx="456665" cy="523946"/>
        </a:xfrm>
        <a:prstGeom prst="rect">
          <a:avLst/>
        </a:prstGeom>
      </xdr:spPr>
    </xdr:pic>
    <xdr:clientData/>
  </xdr:twoCellAnchor>
  <xdr:twoCellAnchor>
    <xdr:from>
      <xdr:col>5</xdr:col>
      <xdr:colOff>772474</xdr:colOff>
      <xdr:row>47</xdr:row>
      <xdr:rowOff>13093</xdr:rowOff>
    </xdr:from>
    <xdr:to>
      <xdr:col>9</xdr:col>
      <xdr:colOff>137996</xdr:colOff>
      <xdr:row>54</xdr:row>
      <xdr:rowOff>81831</xdr:rowOff>
    </xdr:to>
    <xdr:sp macro="" textlink="">
      <xdr:nvSpPr>
        <xdr:cNvPr id="5" name="TextBox 4">
          <a:extLst>
            <a:ext uri="{FF2B5EF4-FFF2-40B4-BE49-F238E27FC236}">
              <a16:creationId xmlns:a16="http://schemas.microsoft.com/office/drawing/2014/main" id="{61898990-E5BC-0941-9546-7D07733F4466}"/>
            </a:ext>
          </a:extLst>
        </xdr:cNvPr>
        <xdr:cNvSpPr txBox="1"/>
      </xdr:nvSpPr>
      <xdr:spPr>
        <a:xfrm>
          <a:off x="13517424504" y="11189093"/>
          <a:ext cx="2692922" cy="149113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he-IL" sz="1000">
            <a:effectLst/>
            <a:latin typeface="David" panose="020E0502060401010101" pitchFamily="34" charset="-79"/>
            <a:cs typeface="David" panose="020E0502060401010101" pitchFamily="34" charset="-79"/>
          </a:endParaRPr>
        </a:p>
        <a:p>
          <a:pPr rtl="1"/>
          <a:r>
            <a:rPr lang="he-IL" sz="1000">
              <a:solidFill>
                <a:schemeClr val="dk1"/>
              </a:solidFill>
              <a:effectLst/>
              <a:latin typeface="David" panose="020E0502060401010101" pitchFamily="34" charset="-79"/>
              <a:ea typeface="+mn-ea"/>
              <a:cs typeface="David" panose="020E0502060401010101" pitchFamily="34" charset="-79"/>
            </a:rPr>
            <a:t>• הון מניות, פרמיה ועלויות הנפקה (בקיזוז הפרמיה).</a:t>
          </a:r>
        </a:p>
        <a:p>
          <a:pPr rtl="1"/>
          <a:r>
            <a:rPr lang="he-IL" sz="1000">
              <a:solidFill>
                <a:schemeClr val="dk1"/>
              </a:solidFill>
              <a:effectLst/>
              <a:latin typeface="David" panose="020E0502060401010101" pitchFamily="34" charset="-79"/>
              <a:ea typeface="+mn-ea"/>
              <a:cs typeface="David" panose="020E0502060401010101" pitchFamily="34" charset="-79"/>
            </a:rPr>
            <a:t>• מניות הטבה (כנגד הפרמיה).</a:t>
          </a:r>
        </a:p>
        <a:p>
          <a:pPr rtl="1"/>
          <a:r>
            <a:rPr lang="he-IL" sz="1000">
              <a:solidFill>
                <a:schemeClr val="dk1"/>
              </a:solidFill>
              <a:effectLst/>
              <a:latin typeface="David" panose="020E0502060401010101" pitchFamily="34" charset="-79"/>
              <a:ea typeface="+mn-ea"/>
              <a:cs typeface="David" panose="020E0502060401010101" pitchFamily="34" charset="-79"/>
            </a:rPr>
            <a:t>• פיצול מניות ושינויים מבניים פשוטים.</a:t>
          </a:r>
        </a:p>
        <a:p>
          <a:pPr rtl="1"/>
          <a:r>
            <a:rPr lang="he-IL" sz="1000">
              <a:solidFill>
                <a:schemeClr val="dk1"/>
              </a:solidFill>
              <a:effectLst/>
              <a:latin typeface="David" panose="020E0502060401010101" pitchFamily="34" charset="-79"/>
              <a:ea typeface="+mn-ea"/>
              <a:cs typeface="David" panose="020E0502060401010101" pitchFamily="34" charset="-79"/>
            </a:rPr>
            <a:t>• ניתוח רווחים מחולקים ודיבידנדים.</a:t>
          </a:r>
          <a:br>
            <a:rPr lang="he-IL" sz="1000">
              <a:effectLst/>
              <a:latin typeface="David" panose="020E0502060401010101" pitchFamily="34" charset="-79"/>
              <a:cs typeface="David" panose="020E0502060401010101" pitchFamily="34" charset="-79"/>
            </a:rPr>
          </a:br>
          <a:endParaRPr lang="he-IL" sz="1000">
            <a:effectLst/>
            <a:latin typeface="David" panose="020E0502060401010101" pitchFamily="34" charset="-79"/>
            <a:cs typeface="David" panose="020E0502060401010101" pitchFamily="34" charset="-79"/>
          </a:endParaRPr>
        </a:p>
      </xdr:txBody>
    </xdr:sp>
    <xdr:clientData/>
  </xdr:twoCellAnchor>
  <xdr:twoCellAnchor>
    <xdr:from>
      <xdr:col>2</xdr:col>
      <xdr:colOff>699371</xdr:colOff>
      <xdr:row>117</xdr:row>
      <xdr:rowOff>104384</xdr:rowOff>
    </xdr:from>
    <xdr:to>
      <xdr:col>3</xdr:col>
      <xdr:colOff>713289</xdr:colOff>
      <xdr:row>117</xdr:row>
      <xdr:rowOff>107863</xdr:rowOff>
    </xdr:to>
    <xdr:cxnSp macro="">
      <xdr:nvCxnSpPr>
        <xdr:cNvPr id="6" name="Straight Arrow Connector 5">
          <a:extLst>
            <a:ext uri="{FF2B5EF4-FFF2-40B4-BE49-F238E27FC236}">
              <a16:creationId xmlns:a16="http://schemas.microsoft.com/office/drawing/2014/main" id="{058FC469-B6A3-1341-8C0F-32E619014D27}"/>
            </a:ext>
          </a:extLst>
        </xdr:cNvPr>
        <xdr:cNvCxnSpPr/>
      </xdr:nvCxnSpPr>
      <xdr:spPr>
        <a:xfrm flipH="1">
          <a:off x="13521827611" y="26025084"/>
          <a:ext cx="839418" cy="3479"/>
        </a:xfrm>
        <a:prstGeom prst="straightConnector1">
          <a:avLst/>
        </a:prstGeom>
        <a:ln>
          <a:headEnd type="triangle"/>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716767</xdr:colOff>
      <xdr:row>118</xdr:row>
      <xdr:rowOff>170493</xdr:rowOff>
    </xdr:from>
    <xdr:to>
      <xdr:col>4</xdr:col>
      <xdr:colOff>716767</xdr:colOff>
      <xdr:row>119</xdr:row>
      <xdr:rowOff>125261</xdr:rowOff>
    </xdr:to>
    <xdr:cxnSp macro="">
      <xdr:nvCxnSpPr>
        <xdr:cNvPr id="7" name="Straight Arrow Connector 6">
          <a:extLst>
            <a:ext uri="{FF2B5EF4-FFF2-40B4-BE49-F238E27FC236}">
              <a16:creationId xmlns:a16="http://schemas.microsoft.com/office/drawing/2014/main" id="{3E639189-B1EE-5D44-B7C5-52AF97507EC0}"/>
            </a:ext>
          </a:extLst>
        </xdr:cNvPr>
        <xdr:cNvCxnSpPr/>
      </xdr:nvCxnSpPr>
      <xdr:spPr>
        <a:xfrm>
          <a:off x="13520998633" y="26294393"/>
          <a:ext cx="0" cy="17066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786356</xdr:colOff>
      <xdr:row>118</xdr:row>
      <xdr:rowOff>146137</xdr:rowOff>
    </xdr:from>
    <xdr:to>
      <xdr:col>5</xdr:col>
      <xdr:colOff>313151</xdr:colOff>
      <xdr:row>119</xdr:row>
      <xdr:rowOff>69589</xdr:rowOff>
    </xdr:to>
    <xdr:sp macro="" textlink="">
      <xdr:nvSpPr>
        <xdr:cNvPr id="8" name="Rounded Rectangle 7">
          <a:extLst>
            <a:ext uri="{FF2B5EF4-FFF2-40B4-BE49-F238E27FC236}">
              <a16:creationId xmlns:a16="http://schemas.microsoft.com/office/drawing/2014/main" id="{0A3456A1-6C3C-624C-B33A-B627D4000FE4}"/>
            </a:ext>
          </a:extLst>
        </xdr:cNvPr>
        <xdr:cNvSpPr/>
      </xdr:nvSpPr>
      <xdr:spPr>
        <a:xfrm>
          <a:off x="13520576749" y="26270037"/>
          <a:ext cx="352295" cy="139352"/>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500"/>
            <a:t>10%</a:t>
          </a:r>
          <a:endParaRPr lang="en-US" sz="500"/>
        </a:p>
      </xdr:txBody>
    </xdr:sp>
    <xdr:clientData/>
  </xdr:twoCellAnchor>
  <xdr:twoCellAnchor editAs="oneCell">
    <xdr:from>
      <xdr:col>5</xdr:col>
      <xdr:colOff>431450</xdr:colOff>
      <xdr:row>68</xdr:row>
      <xdr:rowOff>111878</xdr:rowOff>
    </xdr:from>
    <xdr:to>
      <xdr:col>7</xdr:col>
      <xdr:colOff>787052</xdr:colOff>
      <xdr:row>78</xdr:row>
      <xdr:rowOff>134827</xdr:rowOff>
    </xdr:to>
    <xdr:pic>
      <xdr:nvPicPr>
        <xdr:cNvPr id="9" name="Picture 8">
          <a:extLst>
            <a:ext uri="{FF2B5EF4-FFF2-40B4-BE49-F238E27FC236}">
              <a16:creationId xmlns:a16="http://schemas.microsoft.com/office/drawing/2014/main" id="{4752CE59-BC13-4D40-8456-92DE35A0ABA5}"/>
            </a:ext>
          </a:extLst>
        </xdr:cNvPr>
        <xdr:cNvPicPr>
          <a:picLocks noChangeAspect="1"/>
        </xdr:cNvPicPr>
      </xdr:nvPicPr>
      <xdr:blipFill>
        <a:blip xmlns:r="http://schemas.openxmlformats.org/officeDocument/2006/relationships" r:embed="rId2"/>
        <a:stretch>
          <a:fillRect/>
        </a:stretch>
      </xdr:blipFill>
      <xdr:spPr>
        <a:xfrm>
          <a:off x="13518451848" y="15555078"/>
          <a:ext cx="2006602" cy="2054949"/>
        </a:xfrm>
        <a:prstGeom prst="rect">
          <a:avLst/>
        </a:prstGeom>
      </xdr:spPr>
    </xdr:pic>
    <xdr:clientData/>
  </xdr:twoCellAnchor>
  <xdr:twoCellAnchor editAs="oneCell">
    <xdr:from>
      <xdr:col>0</xdr:col>
      <xdr:colOff>154101</xdr:colOff>
      <xdr:row>167</xdr:row>
      <xdr:rowOff>95649</xdr:rowOff>
    </xdr:from>
    <xdr:to>
      <xdr:col>7</xdr:col>
      <xdr:colOff>212552</xdr:colOff>
      <xdr:row>182</xdr:row>
      <xdr:rowOff>133755</xdr:rowOff>
    </xdr:to>
    <xdr:pic>
      <xdr:nvPicPr>
        <xdr:cNvPr id="10" name="Picture 9">
          <a:extLst>
            <a:ext uri="{FF2B5EF4-FFF2-40B4-BE49-F238E27FC236}">
              <a16:creationId xmlns:a16="http://schemas.microsoft.com/office/drawing/2014/main" id="{85EB6951-CBAE-024A-A732-2055063D3A77}"/>
            </a:ext>
          </a:extLst>
        </xdr:cNvPr>
        <xdr:cNvPicPr>
          <a:picLocks noChangeAspect="1"/>
        </xdr:cNvPicPr>
      </xdr:nvPicPr>
      <xdr:blipFill>
        <a:blip xmlns:r="http://schemas.openxmlformats.org/officeDocument/2006/relationships" r:embed="rId3"/>
        <a:stretch>
          <a:fillRect/>
        </a:stretch>
      </xdr:blipFill>
      <xdr:spPr>
        <a:xfrm>
          <a:off x="13519026348" y="36417649"/>
          <a:ext cx="5836951" cy="3086106"/>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8</xdr:col>
      <xdr:colOff>25397</xdr:colOff>
      <xdr:row>47</xdr:row>
      <xdr:rowOff>167303</xdr:rowOff>
    </xdr:from>
    <xdr:to>
      <xdr:col>11</xdr:col>
      <xdr:colOff>176933</xdr:colOff>
      <xdr:row>55</xdr:row>
      <xdr:rowOff>194830</xdr:rowOff>
    </xdr:to>
    <xdr:pic>
      <xdr:nvPicPr>
        <xdr:cNvPr id="2" name="Picture 1" descr="Save big money on an M1 MacBook Air on Amazon | Macworld">
          <a:extLst>
            <a:ext uri="{FF2B5EF4-FFF2-40B4-BE49-F238E27FC236}">
              <a16:creationId xmlns:a16="http://schemas.microsoft.com/office/drawing/2014/main" id="{2EA059A0-1D41-0A47-B200-DD9EA0D7167C}"/>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3468476134" y="9966508"/>
          <a:ext cx="2619378" cy="174491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0</xdr:colOff>
      <xdr:row>56</xdr:row>
      <xdr:rowOff>78867</xdr:rowOff>
    </xdr:from>
    <xdr:to>
      <xdr:col>10</xdr:col>
      <xdr:colOff>19627</xdr:colOff>
      <xdr:row>66</xdr:row>
      <xdr:rowOff>175491</xdr:rowOff>
    </xdr:to>
    <xdr:pic>
      <xdr:nvPicPr>
        <xdr:cNvPr id="3" name="Picture 2">
          <a:extLst>
            <a:ext uri="{FF2B5EF4-FFF2-40B4-BE49-F238E27FC236}">
              <a16:creationId xmlns:a16="http://schemas.microsoft.com/office/drawing/2014/main" id="{320165B1-4063-8E4C-9C9D-E23459B9CE1C}"/>
            </a:ext>
          </a:extLst>
        </xdr:cNvPr>
        <xdr:cNvPicPr>
          <a:picLocks noChangeAspect="1"/>
        </xdr:cNvPicPr>
      </xdr:nvPicPr>
      <xdr:blipFill>
        <a:blip xmlns:r="http://schemas.openxmlformats.org/officeDocument/2006/relationships" r:embed="rId2"/>
        <a:stretch>
          <a:fillRect/>
        </a:stretch>
      </xdr:blipFill>
      <xdr:spPr>
        <a:xfrm>
          <a:off x="13469456054" y="11797503"/>
          <a:ext cx="1664855" cy="2117079"/>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214346</xdr:colOff>
      <xdr:row>83</xdr:row>
      <xdr:rowOff>133967</xdr:rowOff>
    </xdr:from>
    <xdr:to>
      <xdr:col>6</xdr:col>
      <xdr:colOff>546583</xdr:colOff>
      <xdr:row>89</xdr:row>
      <xdr:rowOff>156385</xdr:rowOff>
    </xdr:to>
    <xdr:pic>
      <xdr:nvPicPr>
        <xdr:cNvPr id="2" name="Picture 1">
          <a:extLst>
            <a:ext uri="{FF2B5EF4-FFF2-40B4-BE49-F238E27FC236}">
              <a16:creationId xmlns:a16="http://schemas.microsoft.com/office/drawing/2014/main" id="{48E00936-094C-7B9F-CF0E-EFFFD22C7747}"/>
            </a:ext>
          </a:extLst>
        </xdr:cNvPr>
        <xdr:cNvPicPr>
          <a:picLocks noChangeAspect="1"/>
        </xdr:cNvPicPr>
      </xdr:nvPicPr>
      <xdr:blipFill>
        <a:blip xmlns:r="http://schemas.openxmlformats.org/officeDocument/2006/relationships" r:embed="rId1"/>
        <a:stretch>
          <a:fillRect/>
        </a:stretch>
      </xdr:blipFill>
      <xdr:spPr>
        <a:xfrm>
          <a:off x="13515104219" y="16049157"/>
          <a:ext cx="7137722" cy="1244190"/>
        </a:xfrm>
        <a:prstGeom prst="rect">
          <a:avLst/>
        </a:prstGeom>
      </xdr:spPr>
    </xdr:pic>
    <xdr:clientData/>
  </xdr:twoCellAnchor>
  <xdr:twoCellAnchor editAs="oneCell">
    <xdr:from>
      <xdr:col>0</xdr:col>
      <xdr:colOff>0</xdr:colOff>
      <xdr:row>113</xdr:row>
      <xdr:rowOff>0</xdr:rowOff>
    </xdr:from>
    <xdr:to>
      <xdr:col>7</xdr:col>
      <xdr:colOff>137746</xdr:colOff>
      <xdr:row>119</xdr:row>
      <xdr:rowOff>75417</xdr:rowOff>
    </xdr:to>
    <xdr:pic>
      <xdr:nvPicPr>
        <xdr:cNvPr id="3" name="Picture 2">
          <a:extLst>
            <a:ext uri="{FF2B5EF4-FFF2-40B4-BE49-F238E27FC236}">
              <a16:creationId xmlns:a16="http://schemas.microsoft.com/office/drawing/2014/main" id="{356C688A-FB7C-AEF6-7A77-94670CB9A2B7}"/>
            </a:ext>
          </a:extLst>
        </xdr:cNvPr>
        <xdr:cNvPicPr>
          <a:picLocks noChangeAspect="1"/>
        </xdr:cNvPicPr>
      </xdr:nvPicPr>
      <xdr:blipFill>
        <a:blip xmlns:r="http://schemas.openxmlformats.org/officeDocument/2006/relationships" r:embed="rId2"/>
        <a:stretch>
          <a:fillRect/>
        </a:stretch>
      </xdr:blipFill>
      <xdr:spPr>
        <a:xfrm>
          <a:off x="13519075754" y="22205462"/>
          <a:ext cx="7772400" cy="1306340"/>
        </a:xfrm>
        <a:prstGeom prst="rect">
          <a:avLst/>
        </a:prstGeom>
      </xdr:spPr>
    </xdr:pic>
    <xdr:clientData/>
  </xdr:twoCellAnchor>
  <xdr:twoCellAnchor editAs="oneCell">
    <xdr:from>
      <xdr:col>0</xdr:col>
      <xdr:colOff>0</xdr:colOff>
      <xdr:row>171</xdr:row>
      <xdr:rowOff>63500</xdr:rowOff>
    </xdr:from>
    <xdr:to>
      <xdr:col>7</xdr:col>
      <xdr:colOff>137746</xdr:colOff>
      <xdr:row>176</xdr:row>
      <xdr:rowOff>97310</xdr:rowOff>
    </xdr:to>
    <xdr:pic>
      <xdr:nvPicPr>
        <xdr:cNvPr id="4" name="Picture 3">
          <a:extLst>
            <a:ext uri="{FF2B5EF4-FFF2-40B4-BE49-F238E27FC236}">
              <a16:creationId xmlns:a16="http://schemas.microsoft.com/office/drawing/2014/main" id="{F9C8B0B5-F626-73CB-0C0D-A0B8AF7E2AA4}"/>
            </a:ext>
          </a:extLst>
        </xdr:cNvPr>
        <xdr:cNvPicPr>
          <a:picLocks noChangeAspect="1"/>
        </xdr:cNvPicPr>
      </xdr:nvPicPr>
      <xdr:blipFill>
        <a:blip xmlns:r="http://schemas.openxmlformats.org/officeDocument/2006/relationships" r:embed="rId3"/>
        <a:stretch>
          <a:fillRect/>
        </a:stretch>
      </xdr:blipFill>
      <xdr:spPr>
        <a:xfrm>
          <a:off x="13519075754" y="35457423"/>
          <a:ext cx="7772400" cy="1059579"/>
        </a:xfrm>
        <a:prstGeom prst="rect">
          <a:avLst/>
        </a:prstGeom>
      </xdr:spPr>
    </xdr:pic>
    <xdr:clientData/>
  </xdr:twoCellAnchor>
  <xdr:twoCellAnchor editAs="oneCell">
    <xdr:from>
      <xdr:col>0</xdr:col>
      <xdr:colOff>0</xdr:colOff>
      <xdr:row>190</xdr:row>
      <xdr:rowOff>14825</xdr:rowOff>
    </xdr:from>
    <xdr:to>
      <xdr:col>7</xdr:col>
      <xdr:colOff>137575</xdr:colOff>
      <xdr:row>194</xdr:row>
      <xdr:rowOff>154</xdr:rowOff>
    </xdr:to>
    <xdr:pic>
      <xdr:nvPicPr>
        <xdr:cNvPr id="5" name="Picture 4">
          <a:extLst>
            <a:ext uri="{FF2B5EF4-FFF2-40B4-BE49-F238E27FC236}">
              <a16:creationId xmlns:a16="http://schemas.microsoft.com/office/drawing/2014/main" id="{1F9560D7-4152-E77A-2509-A5BA5E38E0C3}"/>
            </a:ext>
          </a:extLst>
        </xdr:cNvPr>
        <xdr:cNvPicPr>
          <a:picLocks noChangeAspect="1"/>
        </xdr:cNvPicPr>
      </xdr:nvPicPr>
      <xdr:blipFill>
        <a:blip xmlns:r="http://schemas.openxmlformats.org/officeDocument/2006/relationships" r:embed="rId4"/>
        <a:stretch>
          <a:fillRect/>
        </a:stretch>
      </xdr:blipFill>
      <xdr:spPr>
        <a:xfrm>
          <a:off x="13515029468" y="39029027"/>
          <a:ext cx="7772400" cy="79283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2</xdr:col>
      <xdr:colOff>222250</xdr:colOff>
      <xdr:row>158</xdr:row>
      <xdr:rowOff>63500</xdr:rowOff>
    </xdr:from>
    <xdr:to>
      <xdr:col>2</xdr:col>
      <xdr:colOff>222250</xdr:colOff>
      <xdr:row>159</xdr:row>
      <xdr:rowOff>140607</xdr:rowOff>
    </xdr:to>
    <xdr:cxnSp macro="">
      <xdr:nvCxnSpPr>
        <xdr:cNvPr id="3" name="Straight Arrow Connector 2">
          <a:extLst>
            <a:ext uri="{FF2B5EF4-FFF2-40B4-BE49-F238E27FC236}">
              <a16:creationId xmlns:a16="http://schemas.microsoft.com/office/drawing/2014/main" id="{60A15A62-7DB8-F07E-F790-CF328A5BA197}"/>
            </a:ext>
          </a:extLst>
        </xdr:cNvPr>
        <xdr:cNvCxnSpPr/>
      </xdr:nvCxnSpPr>
      <xdr:spPr>
        <a:xfrm>
          <a:off x="13523118750" y="29454929"/>
          <a:ext cx="0" cy="2812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762001</xdr:colOff>
      <xdr:row>158</xdr:row>
      <xdr:rowOff>31750</xdr:rowOff>
    </xdr:from>
    <xdr:to>
      <xdr:col>2</xdr:col>
      <xdr:colOff>766536</xdr:colOff>
      <xdr:row>161</xdr:row>
      <xdr:rowOff>136071</xdr:rowOff>
    </xdr:to>
    <xdr:cxnSp macro="">
      <xdr:nvCxnSpPr>
        <xdr:cNvPr id="4" name="Straight Arrow Connector 3">
          <a:extLst>
            <a:ext uri="{FF2B5EF4-FFF2-40B4-BE49-F238E27FC236}">
              <a16:creationId xmlns:a16="http://schemas.microsoft.com/office/drawing/2014/main" id="{72AE1647-E7A7-CB58-B69E-FA7CBDA0AA6C}"/>
            </a:ext>
          </a:extLst>
        </xdr:cNvPr>
        <xdr:cNvCxnSpPr/>
      </xdr:nvCxnSpPr>
      <xdr:spPr>
        <a:xfrm flipH="1">
          <a:off x="13522574464" y="29423179"/>
          <a:ext cx="4535" cy="71664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553358</xdr:colOff>
      <xdr:row>157</xdr:row>
      <xdr:rowOff>195037</xdr:rowOff>
    </xdr:from>
    <xdr:to>
      <xdr:col>3</xdr:col>
      <xdr:colOff>557893</xdr:colOff>
      <xdr:row>159</xdr:row>
      <xdr:rowOff>195035</xdr:rowOff>
    </xdr:to>
    <xdr:cxnSp macro="">
      <xdr:nvCxnSpPr>
        <xdr:cNvPr id="6" name="Straight Arrow Connector 5">
          <a:extLst>
            <a:ext uri="{FF2B5EF4-FFF2-40B4-BE49-F238E27FC236}">
              <a16:creationId xmlns:a16="http://schemas.microsoft.com/office/drawing/2014/main" id="{7D58B168-27E2-8B83-580A-3164B0BAC412}"/>
            </a:ext>
          </a:extLst>
        </xdr:cNvPr>
        <xdr:cNvCxnSpPr/>
      </xdr:nvCxnSpPr>
      <xdr:spPr>
        <a:xfrm flipH="1">
          <a:off x="13521957607" y="29382358"/>
          <a:ext cx="4535" cy="40821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752929</xdr:colOff>
      <xdr:row>158</xdr:row>
      <xdr:rowOff>40822</xdr:rowOff>
    </xdr:from>
    <xdr:to>
      <xdr:col>4</xdr:col>
      <xdr:colOff>766535</xdr:colOff>
      <xdr:row>161</xdr:row>
      <xdr:rowOff>18143</xdr:rowOff>
    </xdr:to>
    <xdr:cxnSp macro="">
      <xdr:nvCxnSpPr>
        <xdr:cNvPr id="8" name="Straight Arrow Connector 7">
          <a:extLst>
            <a:ext uri="{FF2B5EF4-FFF2-40B4-BE49-F238E27FC236}">
              <a16:creationId xmlns:a16="http://schemas.microsoft.com/office/drawing/2014/main" id="{626532AA-7E9C-C661-5541-2FEBD7ABB799}"/>
            </a:ext>
          </a:extLst>
        </xdr:cNvPr>
        <xdr:cNvCxnSpPr/>
      </xdr:nvCxnSpPr>
      <xdr:spPr>
        <a:xfrm flipH="1">
          <a:off x="13520923465" y="29432251"/>
          <a:ext cx="13606" cy="58964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576037</xdr:colOff>
      <xdr:row>158</xdr:row>
      <xdr:rowOff>4536</xdr:rowOff>
    </xdr:from>
    <xdr:to>
      <xdr:col>5</xdr:col>
      <xdr:colOff>594179</xdr:colOff>
      <xdr:row>159</xdr:row>
      <xdr:rowOff>167821</xdr:rowOff>
    </xdr:to>
    <xdr:cxnSp macro="">
      <xdr:nvCxnSpPr>
        <xdr:cNvPr id="10" name="Straight Arrow Connector 9">
          <a:extLst>
            <a:ext uri="{FF2B5EF4-FFF2-40B4-BE49-F238E27FC236}">
              <a16:creationId xmlns:a16="http://schemas.microsoft.com/office/drawing/2014/main" id="{C9948ECC-273A-D24A-6487-C08AC0FF87C8}"/>
            </a:ext>
          </a:extLst>
        </xdr:cNvPr>
        <xdr:cNvCxnSpPr/>
      </xdr:nvCxnSpPr>
      <xdr:spPr>
        <a:xfrm flipH="1">
          <a:off x="13520270321" y="29395965"/>
          <a:ext cx="18142" cy="36739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816383</xdr:colOff>
      <xdr:row>48</xdr:row>
      <xdr:rowOff>8411</xdr:rowOff>
    </xdr:from>
    <xdr:to>
      <xdr:col>2</xdr:col>
      <xdr:colOff>758300</xdr:colOff>
      <xdr:row>50</xdr:row>
      <xdr:rowOff>200087</xdr:rowOff>
    </xdr:to>
    <xdr:pic>
      <xdr:nvPicPr>
        <xdr:cNvPr id="2" name="Picture 1">
          <a:extLst>
            <a:ext uri="{FF2B5EF4-FFF2-40B4-BE49-F238E27FC236}">
              <a16:creationId xmlns:a16="http://schemas.microsoft.com/office/drawing/2014/main" id="{E7CBD58B-85DC-C82D-AB32-C5AC1FE5E7AB}"/>
            </a:ext>
          </a:extLst>
        </xdr:cNvPr>
        <xdr:cNvPicPr>
          <a:picLocks noChangeAspect="1"/>
        </xdr:cNvPicPr>
      </xdr:nvPicPr>
      <xdr:blipFill>
        <a:blip xmlns:r="http://schemas.openxmlformats.org/officeDocument/2006/relationships" r:embed="rId1"/>
        <a:stretch>
          <a:fillRect/>
        </a:stretch>
      </xdr:blipFill>
      <xdr:spPr>
        <a:xfrm>
          <a:off x="13501915342" y="9861424"/>
          <a:ext cx="766156" cy="595386"/>
        </a:xfrm>
        <a:prstGeom prst="rect">
          <a:avLst/>
        </a:prstGeom>
      </xdr:spPr>
    </xdr:pic>
    <xdr:clientData/>
  </xdr:twoCellAnchor>
  <xdr:twoCellAnchor>
    <xdr:from>
      <xdr:col>2</xdr:col>
      <xdr:colOff>222880</xdr:colOff>
      <xdr:row>51</xdr:row>
      <xdr:rowOff>147186</xdr:rowOff>
    </xdr:from>
    <xdr:to>
      <xdr:col>4</xdr:col>
      <xdr:colOff>281754</xdr:colOff>
      <xdr:row>55</xdr:row>
      <xdr:rowOff>63080</xdr:rowOff>
    </xdr:to>
    <xdr:sp macro="" textlink="">
      <xdr:nvSpPr>
        <xdr:cNvPr id="5" name="Rounded Rectangular Callout 4">
          <a:extLst>
            <a:ext uri="{FF2B5EF4-FFF2-40B4-BE49-F238E27FC236}">
              <a16:creationId xmlns:a16="http://schemas.microsoft.com/office/drawing/2014/main" id="{AFA7178D-84E5-18B4-6190-124EED413817}"/>
            </a:ext>
          </a:extLst>
        </xdr:cNvPr>
        <xdr:cNvSpPr/>
      </xdr:nvSpPr>
      <xdr:spPr>
        <a:xfrm>
          <a:off x="13500743411" y="10605762"/>
          <a:ext cx="1707351" cy="735927"/>
        </a:xfrm>
        <a:prstGeom prst="wedgeRoundRectCallout">
          <a:avLst>
            <a:gd name="adj1" fmla="val 34552"/>
            <a:gd name="adj2" fmla="val -7578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שי, אלו נכסים ״מהירים״,</a:t>
          </a:r>
          <a:r>
            <a:rPr lang="he-IL" sz="1100" baseline="0"/>
            <a:t> מזומן ונכסים אחרים שהופכים למזומן ״מהר״</a:t>
          </a:r>
          <a:endParaRPr lang="en-US" sz="1100"/>
        </a:p>
      </xdr:txBody>
    </xdr:sp>
    <xdr:clientData/>
  </xdr:twoCellAnchor>
  <xdr:twoCellAnchor editAs="oneCell">
    <xdr:from>
      <xdr:col>1</xdr:col>
      <xdr:colOff>820034</xdr:colOff>
      <xdr:row>55</xdr:row>
      <xdr:rowOff>214248</xdr:rowOff>
    </xdr:from>
    <xdr:to>
      <xdr:col>3</xdr:col>
      <xdr:colOff>13794</xdr:colOff>
      <xdr:row>59</xdr:row>
      <xdr:rowOff>181669</xdr:rowOff>
    </xdr:to>
    <xdr:pic>
      <xdr:nvPicPr>
        <xdr:cNvPr id="7" name="Picture 6">
          <a:extLst>
            <a:ext uri="{FF2B5EF4-FFF2-40B4-BE49-F238E27FC236}">
              <a16:creationId xmlns:a16="http://schemas.microsoft.com/office/drawing/2014/main" id="{8AA359FC-2579-62B6-C606-A207FB73C4AA}"/>
            </a:ext>
          </a:extLst>
        </xdr:cNvPr>
        <xdr:cNvPicPr>
          <a:picLocks noChangeAspect="1"/>
        </xdr:cNvPicPr>
      </xdr:nvPicPr>
      <xdr:blipFill>
        <a:blip xmlns:r="http://schemas.openxmlformats.org/officeDocument/2006/relationships" r:embed="rId2"/>
        <a:stretch>
          <a:fillRect/>
        </a:stretch>
      </xdr:blipFill>
      <xdr:spPr>
        <a:xfrm>
          <a:off x="13501835610" y="11492857"/>
          <a:ext cx="842237" cy="812685"/>
        </a:xfrm>
        <a:prstGeom prst="rect">
          <a:avLst/>
        </a:prstGeom>
      </xdr:spPr>
    </xdr:pic>
    <xdr:clientData/>
  </xdr:twoCellAnchor>
  <xdr:twoCellAnchor>
    <xdr:from>
      <xdr:col>2</xdr:col>
      <xdr:colOff>412119</xdr:colOff>
      <xdr:row>59</xdr:row>
      <xdr:rowOff>134571</xdr:rowOff>
    </xdr:from>
    <xdr:to>
      <xdr:col>4</xdr:col>
      <xdr:colOff>470993</xdr:colOff>
      <xdr:row>63</xdr:row>
      <xdr:rowOff>50465</xdr:rowOff>
    </xdr:to>
    <xdr:sp macro="" textlink="">
      <xdr:nvSpPr>
        <xdr:cNvPr id="9" name="Rounded Rectangular Callout 8">
          <a:extLst>
            <a:ext uri="{FF2B5EF4-FFF2-40B4-BE49-F238E27FC236}">
              <a16:creationId xmlns:a16="http://schemas.microsoft.com/office/drawing/2014/main" id="{037D64E8-4CAD-412E-1492-A626E7F159A8}"/>
            </a:ext>
          </a:extLst>
        </xdr:cNvPr>
        <xdr:cNvSpPr/>
      </xdr:nvSpPr>
      <xdr:spPr>
        <a:xfrm>
          <a:off x="13500554172" y="12233213"/>
          <a:ext cx="1707351" cy="735927"/>
        </a:xfrm>
        <a:prstGeom prst="wedgeRoundRectCallout">
          <a:avLst>
            <a:gd name="adj1" fmla="val 34552"/>
            <a:gd name="adj2" fmla="val -7578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בנכסים אלו אני צופה שהחברה תשתמש</a:t>
          </a:r>
          <a:r>
            <a:rPr lang="he-IL" sz="1100" baseline="0"/>
            <a:t> תקופה ארוכה, מעל שנה</a:t>
          </a:r>
          <a:endParaRPr lang="en-US" sz="1100"/>
        </a:p>
      </xdr:txBody>
    </xdr:sp>
    <xdr:clientData/>
  </xdr:twoCellAnchor>
  <xdr:twoCellAnchor editAs="oneCell">
    <xdr:from>
      <xdr:col>9</xdr:col>
      <xdr:colOff>628816</xdr:colOff>
      <xdr:row>47</xdr:row>
      <xdr:rowOff>189239</xdr:rowOff>
    </xdr:from>
    <xdr:to>
      <xdr:col>10</xdr:col>
      <xdr:colOff>675540</xdr:colOff>
      <xdr:row>51</xdr:row>
      <xdr:rowOff>42222</xdr:rowOff>
    </xdr:to>
    <xdr:pic>
      <xdr:nvPicPr>
        <xdr:cNvPr id="11" name="Picture 10">
          <a:extLst>
            <a:ext uri="{FF2B5EF4-FFF2-40B4-BE49-F238E27FC236}">
              <a16:creationId xmlns:a16="http://schemas.microsoft.com/office/drawing/2014/main" id="{2EAF06DC-2DEC-AF6D-A892-E1EF3956AED1}"/>
            </a:ext>
          </a:extLst>
        </xdr:cNvPr>
        <xdr:cNvPicPr>
          <a:picLocks noChangeAspect="1"/>
        </xdr:cNvPicPr>
      </xdr:nvPicPr>
      <xdr:blipFill>
        <a:blip xmlns:r="http://schemas.openxmlformats.org/officeDocument/2006/relationships" r:embed="rId3"/>
        <a:stretch>
          <a:fillRect/>
        </a:stretch>
      </xdr:blipFill>
      <xdr:spPr>
        <a:xfrm>
          <a:off x="13495404195" y="9827782"/>
          <a:ext cx="870962" cy="673016"/>
        </a:xfrm>
        <a:prstGeom prst="rect">
          <a:avLst/>
        </a:prstGeom>
      </xdr:spPr>
    </xdr:pic>
    <xdr:clientData/>
  </xdr:twoCellAnchor>
  <xdr:twoCellAnchor>
    <xdr:from>
      <xdr:col>7</xdr:col>
      <xdr:colOff>765364</xdr:colOff>
      <xdr:row>51</xdr:row>
      <xdr:rowOff>33643</xdr:rowOff>
    </xdr:from>
    <xdr:to>
      <xdr:col>10</xdr:col>
      <xdr:colOff>180827</xdr:colOff>
      <xdr:row>54</xdr:row>
      <xdr:rowOff>197649</xdr:rowOff>
    </xdr:to>
    <xdr:sp macro="" textlink="">
      <xdr:nvSpPr>
        <xdr:cNvPr id="12" name="Rounded Rectangular Callout 11">
          <a:extLst>
            <a:ext uri="{FF2B5EF4-FFF2-40B4-BE49-F238E27FC236}">
              <a16:creationId xmlns:a16="http://schemas.microsoft.com/office/drawing/2014/main" id="{278593D3-5DA0-1A81-964F-F46D66747721}"/>
            </a:ext>
          </a:extLst>
        </xdr:cNvPr>
        <xdr:cNvSpPr/>
      </xdr:nvSpPr>
      <xdr:spPr>
        <a:xfrm>
          <a:off x="13495898908" y="10492219"/>
          <a:ext cx="1888178" cy="782185"/>
        </a:xfrm>
        <a:prstGeom prst="wedgeRoundRectCallout">
          <a:avLst>
            <a:gd name="adj1" fmla="val -38847"/>
            <a:gd name="adj2" fmla="val -6792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שי, מהר מהר, תתארגן לפרוע התחייבויות אלו כי מועד פרעונן קרוב מאד (עד שנה)</a:t>
          </a:r>
          <a:endParaRPr lang="en-US" sz="1100"/>
        </a:p>
      </xdr:txBody>
    </xdr:sp>
    <xdr:clientData/>
  </xdr:twoCellAnchor>
  <xdr:twoCellAnchor editAs="oneCell">
    <xdr:from>
      <xdr:col>9</xdr:col>
      <xdr:colOff>714899</xdr:colOff>
      <xdr:row>55</xdr:row>
      <xdr:rowOff>21443</xdr:rowOff>
    </xdr:from>
    <xdr:to>
      <xdr:col>11</xdr:col>
      <xdr:colOff>123719</xdr:colOff>
      <xdr:row>59</xdr:row>
      <xdr:rowOff>67454</xdr:rowOff>
    </xdr:to>
    <xdr:pic>
      <xdr:nvPicPr>
        <xdr:cNvPr id="13" name="Picture 12">
          <a:extLst>
            <a:ext uri="{FF2B5EF4-FFF2-40B4-BE49-F238E27FC236}">
              <a16:creationId xmlns:a16="http://schemas.microsoft.com/office/drawing/2014/main" id="{8D0EA99C-82EE-CA1B-12DC-611E315C1840}"/>
            </a:ext>
          </a:extLst>
        </xdr:cNvPr>
        <xdr:cNvPicPr>
          <a:picLocks noChangeAspect="1"/>
        </xdr:cNvPicPr>
      </xdr:nvPicPr>
      <xdr:blipFill>
        <a:blip xmlns:r="http://schemas.openxmlformats.org/officeDocument/2006/relationships" r:embed="rId4"/>
        <a:stretch>
          <a:fillRect/>
        </a:stretch>
      </xdr:blipFill>
      <xdr:spPr>
        <a:xfrm>
          <a:off x="13495131777" y="11325284"/>
          <a:ext cx="1057297" cy="891275"/>
        </a:xfrm>
        <a:prstGeom prst="rect">
          <a:avLst/>
        </a:prstGeom>
      </xdr:spPr>
    </xdr:pic>
    <xdr:clientData/>
  </xdr:twoCellAnchor>
  <xdr:twoCellAnchor>
    <xdr:from>
      <xdr:col>7</xdr:col>
      <xdr:colOff>710694</xdr:colOff>
      <xdr:row>56</xdr:row>
      <xdr:rowOff>33644</xdr:rowOff>
    </xdr:from>
    <xdr:to>
      <xdr:col>10</xdr:col>
      <xdr:colOff>126157</xdr:colOff>
      <xdr:row>60</xdr:row>
      <xdr:rowOff>8412</xdr:rowOff>
    </xdr:to>
    <xdr:sp macro="" textlink="">
      <xdr:nvSpPr>
        <xdr:cNvPr id="14" name="Rounded Rectangular Callout 13">
          <a:extLst>
            <a:ext uri="{FF2B5EF4-FFF2-40B4-BE49-F238E27FC236}">
              <a16:creationId xmlns:a16="http://schemas.microsoft.com/office/drawing/2014/main" id="{D2345820-58B2-45E6-6B06-F0FE5EB1C9AE}"/>
            </a:ext>
          </a:extLst>
        </xdr:cNvPr>
        <xdr:cNvSpPr/>
      </xdr:nvSpPr>
      <xdr:spPr>
        <a:xfrm>
          <a:off x="13495953578" y="11551955"/>
          <a:ext cx="1888178" cy="794801"/>
        </a:xfrm>
        <a:prstGeom prst="wedgeRoundRectCallout">
          <a:avLst>
            <a:gd name="adj1" fmla="val -58001"/>
            <a:gd name="adj2" fmla="val -8662"/>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שי, ההתחייבויות הלא שוטפות </a:t>
          </a:r>
          <a:r>
            <a:rPr lang="he-IL" sz="1100" u="sng"/>
            <a:t>אינן מלחיצות אותי , יש לנו זמן (מעל שנה) עד מועד הפירעון</a:t>
          </a:r>
          <a:endParaRPr lang="en-US" sz="1100" u="sng"/>
        </a:p>
      </xdr:txBody>
    </xdr:sp>
    <xdr:clientData/>
  </xdr:twoCellAnchor>
  <xdr:twoCellAnchor editAs="oneCell">
    <xdr:from>
      <xdr:col>8</xdr:col>
      <xdr:colOff>16822</xdr:colOff>
      <xdr:row>62</xdr:row>
      <xdr:rowOff>69119</xdr:rowOff>
    </xdr:from>
    <xdr:to>
      <xdr:col>10</xdr:col>
      <xdr:colOff>344751</xdr:colOff>
      <xdr:row>67</xdr:row>
      <xdr:rowOff>59126</xdr:rowOff>
    </xdr:to>
    <xdr:pic>
      <xdr:nvPicPr>
        <xdr:cNvPr id="15" name="Picture 14" descr="Are we truly equal? UWM philosopher thinks not - Letters and Science">
          <a:extLst>
            <a:ext uri="{FF2B5EF4-FFF2-40B4-BE49-F238E27FC236}">
              <a16:creationId xmlns:a16="http://schemas.microsoft.com/office/drawing/2014/main" id="{4A40A74D-C3D6-05B4-1B5D-6042A5308C87}"/>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3495734984" y="12836404"/>
          <a:ext cx="1976406" cy="10371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3</xdr:col>
      <xdr:colOff>743502</xdr:colOff>
      <xdr:row>150</xdr:row>
      <xdr:rowOff>173693</xdr:rowOff>
    </xdr:from>
    <xdr:to>
      <xdr:col>3</xdr:col>
      <xdr:colOff>749016</xdr:colOff>
      <xdr:row>152</xdr:row>
      <xdr:rowOff>32016</xdr:rowOff>
    </xdr:to>
    <xdr:cxnSp macro="">
      <xdr:nvCxnSpPr>
        <xdr:cNvPr id="16" name="Straight Arrow Connector 15">
          <a:extLst>
            <a:ext uri="{FF2B5EF4-FFF2-40B4-BE49-F238E27FC236}">
              <a16:creationId xmlns:a16="http://schemas.microsoft.com/office/drawing/2014/main" id="{FCD16403-2293-732C-2000-460FCC429F0D}"/>
            </a:ext>
          </a:extLst>
        </xdr:cNvPr>
        <xdr:cNvCxnSpPr/>
      </xdr:nvCxnSpPr>
      <xdr:spPr>
        <a:xfrm>
          <a:off x="13518852777" y="30916942"/>
          <a:ext cx="5514" cy="26387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761289</xdr:colOff>
      <xdr:row>150</xdr:row>
      <xdr:rowOff>184986</xdr:rowOff>
    </xdr:from>
    <xdr:to>
      <xdr:col>4</xdr:col>
      <xdr:colOff>779076</xdr:colOff>
      <xdr:row>152</xdr:row>
      <xdr:rowOff>53360</xdr:rowOff>
    </xdr:to>
    <xdr:cxnSp macro="">
      <xdr:nvCxnSpPr>
        <xdr:cNvPr id="18" name="Straight Arrow Connector 17">
          <a:extLst>
            <a:ext uri="{FF2B5EF4-FFF2-40B4-BE49-F238E27FC236}">
              <a16:creationId xmlns:a16="http://schemas.microsoft.com/office/drawing/2014/main" id="{BD4DD8F4-4CA3-3119-2D58-35D8725DE2C7}"/>
            </a:ext>
          </a:extLst>
        </xdr:cNvPr>
        <xdr:cNvCxnSpPr/>
      </xdr:nvCxnSpPr>
      <xdr:spPr>
        <a:xfrm flipH="1">
          <a:off x="13517997394" y="30928235"/>
          <a:ext cx="843110" cy="27392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811092</xdr:colOff>
      <xdr:row>152</xdr:row>
      <xdr:rowOff>192100</xdr:rowOff>
    </xdr:from>
    <xdr:to>
      <xdr:col>5</xdr:col>
      <xdr:colOff>67591</xdr:colOff>
      <xdr:row>154</xdr:row>
      <xdr:rowOff>81820</xdr:rowOff>
    </xdr:to>
    <xdr:cxnSp macro="">
      <xdr:nvCxnSpPr>
        <xdr:cNvPr id="20" name="Straight Arrow Connector 19">
          <a:extLst>
            <a:ext uri="{FF2B5EF4-FFF2-40B4-BE49-F238E27FC236}">
              <a16:creationId xmlns:a16="http://schemas.microsoft.com/office/drawing/2014/main" id="{3E863F65-9A5E-721A-D8A5-418EC79A1507}"/>
            </a:ext>
          </a:extLst>
        </xdr:cNvPr>
        <xdr:cNvCxnSpPr/>
      </xdr:nvCxnSpPr>
      <xdr:spPr>
        <a:xfrm flipH="1">
          <a:off x="13517883557" y="31340896"/>
          <a:ext cx="81821" cy="29526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818207</xdr:colOff>
      <xdr:row>152</xdr:row>
      <xdr:rowOff>192100</xdr:rowOff>
    </xdr:from>
    <xdr:to>
      <xdr:col>5</xdr:col>
      <xdr:colOff>704370</xdr:colOff>
      <xdr:row>154</xdr:row>
      <xdr:rowOff>56918</xdr:rowOff>
    </xdr:to>
    <xdr:cxnSp macro="">
      <xdr:nvCxnSpPr>
        <xdr:cNvPr id="22" name="Straight Arrow Connector 21">
          <a:extLst>
            <a:ext uri="{FF2B5EF4-FFF2-40B4-BE49-F238E27FC236}">
              <a16:creationId xmlns:a16="http://schemas.microsoft.com/office/drawing/2014/main" id="{A37DE3E4-832C-D847-0AA8-F2AF30F7C12E}"/>
            </a:ext>
          </a:extLst>
        </xdr:cNvPr>
        <xdr:cNvCxnSpPr/>
      </xdr:nvCxnSpPr>
      <xdr:spPr>
        <a:xfrm flipH="1">
          <a:off x="13517246778" y="31340896"/>
          <a:ext cx="711485" cy="27036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69850</xdr:colOff>
      <xdr:row>202</xdr:row>
      <xdr:rowOff>63500</xdr:rowOff>
    </xdr:from>
    <xdr:to>
      <xdr:col>3</xdr:col>
      <xdr:colOff>698500</xdr:colOff>
      <xdr:row>202</xdr:row>
      <xdr:rowOff>190500</xdr:rowOff>
    </xdr:to>
    <xdr:sp macro="" textlink="">
      <xdr:nvSpPr>
        <xdr:cNvPr id="19" name="Left Arrow 18">
          <a:extLst>
            <a:ext uri="{FF2B5EF4-FFF2-40B4-BE49-F238E27FC236}">
              <a16:creationId xmlns:a16="http://schemas.microsoft.com/office/drawing/2014/main" id="{6162AB60-8E5D-F5B7-8224-02900FD2B8FD}"/>
            </a:ext>
          </a:extLst>
        </xdr:cNvPr>
        <xdr:cNvSpPr/>
      </xdr:nvSpPr>
      <xdr:spPr>
        <a:xfrm>
          <a:off x="13521817000" y="40005000"/>
          <a:ext cx="628650" cy="127000"/>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647701</xdr:colOff>
      <xdr:row>198</xdr:row>
      <xdr:rowOff>133350</xdr:rowOff>
    </xdr:from>
    <xdr:to>
      <xdr:col>6</xdr:col>
      <xdr:colOff>784226</xdr:colOff>
      <xdr:row>202</xdr:row>
      <xdr:rowOff>85725</xdr:rowOff>
    </xdr:to>
    <xdr:sp macro="" textlink="">
      <xdr:nvSpPr>
        <xdr:cNvPr id="21" name="Left Arrow 20">
          <a:extLst>
            <a:ext uri="{FF2B5EF4-FFF2-40B4-BE49-F238E27FC236}">
              <a16:creationId xmlns:a16="http://schemas.microsoft.com/office/drawing/2014/main" id="{BD38538A-FFB7-1113-4A34-3410D937378E}"/>
            </a:ext>
          </a:extLst>
        </xdr:cNvPr>
        <xdr:cNvSpPr/>
      </xdr:nvSpPr>
      <xdr:spPr>
        <a:xfrm rot="5400000">
          <a:off x="13518927749" y="39563675"/>
          <a:ext cx="790575" cy="136525"/>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9</xdr:col>
      <xdr:colOff>379541</xdr:colOff>
      <xdr:row>197</xdr:row>
      <xdr:rowOff>58392</xdr:rowOff>
    </xdr:from>
    <xdr:to>
      <xdr:col>9</xdr:col>
      <xdr:colOff>545796</xdr:colOff>
      <xdr:row>198</xdr:row>
      <xdr:rowOff>41932</xdr:rowOff>
    </xdr:to>
    <xdr:sp macro="" textlink="">
      <xdr:nvSpPr>
        <xdr:cNvPr id="23" name="Left Arrow 22">
          <a:extLst>
            <a:ext uri="{FF2B5EF4-FFF2-40B4-BE49-F238E27FC236}">
              <a16:creationId xmlns:a16="http://schemas.microsoft.com/office/drawing/2014/main" id="{F96C96B5-1154-1ADB-D6E5-C129BEE2F34D}"/>
            </a:ext>
          </a:extLst>
        </xdr:cNvPr>
        <xdr:cNvSpPr/>
      </xdr:nvSpPr>
      <xdr:spPr>
        <a:xfrm rot="5400000">
          <a:off x="13544888703" y="40295617"/>
          <a:ext cx="197639" cy="166255"/>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233564</xdr:colOff>
      <xdr:row>197</xdr:row>
      <xdr:rowOff>4868</xdr:rowOff>
    </xdr:from>
    <xdr:to>
      <xdr:col>8</xdr:col>
      <xdr:colOff>399819</xdr:colOff>
      <xdr:row>197</xdr:row>
      <xdr:rowOff>202507</xdr:rowOff>
    </xdr:to>
    <xdr:sp macro="" textlink="">
      <xdr:nvSpPr>
        <xdr:cNvPr id="24" name="Left Arrow 23">
          <a:extLst>
            <a:ext uri="{FF2B5EF4-FFF2-40B4-BE49-F238E27FC236}">
              <a16:creationId xmlns:a16="http://schemas.microsoft.com/office/drawing/2014/main" id="{E9DDDAE1-03A3-BB13-1360-E915E7A55E96}"/>
            </a:ext>
          </a:extLst>
        </xdr:cNvPr>
        <xdr:cNvSpPr/>
      </xdr:nvSpPr>
      <xdr:spPr>
        <a:xfrm rot="5400000">
          <a:off x="13545861883" y="40242093"/>
          <a:ext cx="197639" cy="166255"/>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654741</xdr:colOff>
      <xdr:row>230</xdr:row>
      <xdr:rowOff>115155</xdr:rowOff>
    </xdr:from>
    <xdr:to>
      <xdr:col>7</xdr:col>
      <xdr:colOff>802798</xdr:colOff>
      <xdr:row>234</xdr:row>
      <xdr:rowOff>141477</xdr:rowOff>
    </xdr:to>
    <xdr:cxnSp macro="">
      <xdr:nvCxnSpPr>
        <xdr:cNvPr id="26" name="Straight Arrow Connector 25">
          <a:extLst>
            <a:ext uri="{FF2B5EF4-FFF2-40B4-BE49-F238E27FC236}">
              <a16:creationId xmlns:a16="http://schemas.microsoft.com/office/drawing/2014/main" id="{D826901E-EBB9-F31C-FF65-E5E5DED5A765}"/>
            </a:ext>
          </a:extLst>
        </xdr:cNvPr>
        <xdr:cNvCxnSpPr/>
      </xdr:nvCxnSpPr>
      <xdr:spPr>
        <a:xfrm>
          <a:off x="13523798990" y="47226891"/>
          <a:ext cx="3451373" cy="85544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5</xdr:col>
      <xdr:colOff>34953</xdr:colOff>
      <xdr:row>259</xdr:row>
      <xdr:rowOff>194696</xdr:rowOff>
    </xdr:from>
    <xdr:to>
      <xdr:col>10</xdr:col>
      <xdr:colOff>633991</xdr:colOff>
      <xdr:row>268</xdr:row>
      <xdr:rowOff>164198</xdr:rowOff>
    </xdr:to>
    <xdr:pic>
      <xdr:nvPicPr>
        <xdr:cNvPr id="28" name="Picture 27">
          <a:extLst>
            <a:ext uri="{FF2B5EF4-FFF2-40B4-BE49-F238E27FC236}">
              <a16:creationId xmlns:a16="http://schemas.microsoft.com/office/drawing/2014/main" id="{8D7E6759-F4E7-CD6A-9595-7FABF19F0AF9}"/>
            </a:ext>
          </a:extLst>
        </xdr:cNvPr>
        <xdr:cNvPicPr>
          <a:picLocks noChangeAspect="1"/>
        </xdr:cNvPicPr>
      </xdr:nvPicPr>
      <xdr:blipFill>
        <a:blip xmlns:r="http://schemas.openxmlformats.org/officeDocument/2006/relationships" r:embed="rId6"/>
        <a:stretch>
          <a:fillRect/>
        </a:stretch>
      </xdr:blipFill>
      <xdr:spPr>
        <a:xfrm>
          <a:off x="13544719954" y="52886103"/>
          <a:ext cx="4735276" cy="178711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5</xdr:col>
      <xdr:colOff>721289</xdr:colOff>
      <xdr:row>22</xdr:row>
      <xdr:rowOff>8617</xdr:rowOff>
    </xdr:from>
    <xdr:to>
      <xdr:col>6</xdr:col>
      <xdr:colOff>54250</xdr:colOff>
      <xdr:row>23</xdr:row>
      <xdr:rowOff>123902</xdr:rowOff>
    </xdr:to>
    <xdr:sp macro="" textlink="">
      <xdr:nvSpPr>
        <xdr:cNvPr id="2" name="Down Arrow 1">
          <a:extLst>
            <a:ext uri="{FF2B5EF4-FFF2-40B4-BE49-F238E27FC236}">
              <a16:creationId xmlns:a16="http://schemas.microsoft.com/office/drawing/2014/main" id="{909D3D4D-23F1-444A-865B-097115D3A585}"/>
            </a:ext>
          </a:extLst>
        </xdr:cNvPr>
        <xdr:cNvSpPr/>
      </xdr:nvSpPr>
      <xdr:spPr>
        <a:xfrm>
          <a:off x="13519984750" y="4504417"/>
          <a:ext cx="158461" cy="31848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734564</xdr:colOff>
      <xdr:row>26</xdr:row>
      <xdr:rowOff>66143</xdr:rowOff>
    </xdr:from>
    <xdr:to>
      <xdr:col>6</xdr:col>
      <xdr:colOff>67525</xdr:colOff>
      <xdr:row>27</xdr:row>
      <xdr:rowOff>181428</xdr:rowOff>
    </xdr:to>
    <xdr:sp macro="" textlink="">
      <xdr:nvSpPr>
        <xdr:cNvPr id="3" name="Down Arrow 2">
          <a:extLst>
            <a:ext uri="{FF2B5EF4-FFF2-40B4-BE49-F238E27FC236}">
              <a16:creationId xmlns:a16="http://schemas.microsoft.com/office/drawing/2014/main" id="{29628170-8565-A14B-99B7-CEC5046FFDED}"/>
            </a:ext>
          </a:extLst>
        </xdr:cNvPr>
        <xdr:cNvSpPr/>
      </xdr:nvSpPr>
      <xdr:spPr>
        <a:xfrm>
          <a:off x="13519971475" y="5400143"/>
          <a:ext cx="158461" cy="31848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730139</xdr:colOff>
      <xdr:row>30</xdr:row>
      <xdr:rowOff>48442</xdr:rowOff>
    </xdr:from>
    <xdr:to>
      <xdr:col>6</xdr:col>
      <xdr:colOff>63100</xdr:colOff>
      <xdr:row>31</xdr:row>
      <xdr:rowOff>163727</xdr:rowOff>
    </xdr:to>
    <xdr:sp macro="" textlink="">
      <xdr:nvSpPr>
        <xdr:cNvPr id="4" name="Down Arrow 3">
          <a:extLst>
            <a:ext uri="{FF2B5EF4-FFF2-40B4-BE49-F238E27FC236}">
              <a16:creationId xmlns:a16="http://schemas.microsoft.com/office/drawing/2014/main" id="{D6CB5443-CB4E-8E4F-A60D-CE1BDCAB021B}"/>
            </a:ext>
          </a:extLst>
        </xdr:cNvPr>
        <xdr:cNvSpPr/>
      </xdr:nvSpPr>
      <xdr:spPr>
        <a:xfrm>
          <a:off x="13519975900" y="6220642"/>
          <a:ext cx="158461" cy="31848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741329</xdr:colOff>
      <xdr:row>34</xdr:row>
      <xdr:rowOff>31658</xdr:rowOff>
    </xdr:from>
    <xdr:to>
      <xdr:col>6</xdr:col>
      <xdr:colOff>74290</xdr:colOff>
      <xdr:row>35</xdr:row>
      <xdr:rowOff>146943</xdr:rowOff>
    </xdr:to>
    <xdr:sp macro="" textlink="">
      <xdr:nvSpPr>
        <xdr:cNvPr id="5" name="Down Arrow 4">
          <a:extLst>
            <a:ext uri="{FF2B5EF4-FFF2-40B4-BE49-F238E27FC236}">
              <a16:creationId xmlns:a16="http://schemas.microsoft.com/office/drawing/2014/main" id="{7644648B-925D-3F47-9D83-6EF6FA10173D}"/>
            </a:ext>
          </a:extLst>
        </xdr:cNvPr>
        <xdr:cNvSpPr/>
      </xdr:nvSpPr>
      <xdr:spPr>
        <a:xfrm>
          <a:off x="13519964710" y="7042058"/>
          <a:ext cx="158461" cy="31848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10642</xdr:colOff>
      <xdr:row>25</xdr:row>
      <xdr:rowOff>14190</xdr:rowOff>
    </xdr:from>
    <xdr:to>
      <xdr:col>7</xdr:col>
      <xdr:colOff>677569</xdr:colOff>
      <xdr:row>27</xdr:row>
      <xdr:rowOff>102877</xdr:rowOff>
    </xdr:to>
    <xdr:cxnSp macro="">
      <xdr:nvCxnSpPr>
        <xdr:cNvPr id="7" name="Straight Arrow Connector 6">
          <a:extLst>
            <a:ext uri="{FF2B5EF4-FFF2-40B4-BE49-F238E27FC236}">
              <a16:creationId xmlns:a16="http://schemas.microsoft.com/office/drawing/2014/main" id="{637394AB-777E-FB4F-703C-E7C2368033A9}"/>
            </a:ext>
          </a:extLst>
        </xdr:cNvPr>
        <xdr:cNvCxnSpPr/>
      </xdr:nvCxnSpPr>
      <xdr:spPr>
        <a:xfrm flipH="1">
          <a:off x="13535965084" y="5285754"/>
          <a:ext cx="666927" cy="50729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823017</xdr:colOff>
      <xdr:row>27</xdr:row>
      <xdr:rowOff>95782</xdr:rowOff>
    </xdr:from>
    <xdr:to>
      <xdr:col>7</xdr:col>
      <xdr:colOff>674022</xdr:colOff>
      <xdr:row>28</xdr:row>
      <xdr:rowOff>191564</xdr:rowOff>
    </xdr:to>
    <xdr:cxnSp macro="">
      <xdr:nvCxnSpPr>
        <xdr:cNvPr id="8" name="Straight Arrow Connector 7">
          <a:extLst>
            <a:ext uri="{FF2B5EF4-FFF2-40B4-BE49-F238E27FC236}">
              <a16:creationId xmlns:a16="http://schemas.microsoft.com/office/drawing/2014/main" id="{A072C374-85BF-2018-3998-47FDF65BC0BB}"/>
            </a:ext>
          </a:extLst>
        </xdr:cNvPr>
        <xdr:cNvCxnSpPr/>
      </xdr:nvCxnSpPr>
      <xdr:spPr>
        <a:xfrm flipH="1" flipV="1">
          <a:off x="13535968631" y="5785950"/>
          <a:ext cx="677570" cy="31217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141899</xdr:colOff>
      <xdr:row>28</xdr:row>
      <xdr:rowOff>53213</xdr:rowOff>
    </xdr:from>
    <xdr:to>
      <xdr:col>8</xdr:col>
      <xdr:colOff>145447</xdr:colOff>
      <xdr:row>33</xdr:row>
      <xdr:rowOff>0</xdr:rowOff>
    </xdr:to>
    <xdr:cxnSp macro="">
      <xdr:nvCxnSpPr>
        <xdr:cNvPr id="11" name="Straight Connector 10">
          <a:extLst>
            <a:ext uri="{FF2B5EF4-FFF2-40B4-BE49-F238E27FC236}">
              <a16:creationId xmlns:a16="http://schemas.microsoft.com/office/drawing/2014/main" id="{DF04C551-6210-90A8-1BE8-507F101A4CCA}"/>
            </a:ext>
          </a:extLst>
        </xdr:cNvPr>
        <xdr:cNvCxnSpPr/>
      </xdr:nvCxnSpPr>
      <xdr:spPr>
        <a:xfrm flipH="1">
          <a:off x="13535670642" y="5959777"/>
          <a:ext cx="3548" cy="98620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819469</xdr:colOff>
      <xdr:row>34</xdr:row>
      <xdr:rowOff>134805</xdr:rowOff>
    </xdr:from>
    <xdr:to>
      <xdr:col>7</xdr:col>
      <xdr:colOff>748519</xdr:colOff>
      <xdr:row>37</xdr:row>
      <xdr:rowOff>53213</xdr:rowOff>
    </xdr:to>
    <xdr:cxnSp macro="">
      <xdr:nvCxnSpPr>
        <xdr:cNvPr id="12" name="Straight Connector 11">
          <a:extLst>
            <a:ext uri="{FF2B5EF4-FFF2-40B4-BE49-F238E27FC236}">
              <a16:creationId xmlns:a16="http://schemas.microsoft.com/office/drawing/2014/main" id="{7A91D5F6-C4DD-A106-0BAD-8BBA7ABB27C7}"/>
            </a:ext>
          </a:extLst>
        </xdr:cNvPr>
        <xdr:cNvCxnSpPr/>
      </xdr:nvCxnSpPr>
      <xdr:spPr>
        <a:xfrm>
          <a:off x="13535894134" y="7297179"/>
          <a:ext cx="755615" cy="53921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6</xdr:col>
      <xdr:colOff>105833</xdr:colOff>
      <xdr:row>105</xdr:row>
      <xdr:rowOff>162820</xdr:rowOff>
    </xdr:from>
    <xdr:to>
      <xdr:col>7</xdr:col>
      <xdr:colOff>326780</xdr:colOff>
      <xdr:row>109</xdr:row>
      <xdr:rowOff>155981</xdr:rowOff>
    </xdr:to>
    <xdr:pic>
      <xdr:nvPicPr>
        <xdr:cNvPr id="17" name="Picture 16">
          <a:extLst>
            <a:ext uri="{FF2B5EF4-FFF2-40B4-BE49-F238E27FC236}">
              <a16:creationId xmlns:a16="http://schemas.microsoft.com/office/drawing/2014/main" id="{F442437E-C783-D07C-6310-4F4D3396186F}"/>
            </a:ext>
          </a:extLst>
        </xdr:cNvPr>
        <xdr:cNvPicPr>
          <a:picLocks noChangeAspect="1"/>
        </xdr:cNvPicPr>
      </xdr:nvPicPr>
      <xdr:blipFill>
        <a:blip xmlns:r="http://schemas.openxmlformats.org/officeDocument/2006/relationships" r:embed="rId1"/>
        <a:stretch>
          <a:fillRect/>
        </a:stretch>
      </xdr:blipFill>
      <xdr:spPr>
        <a:xfrm>
          <a:off x="13532219277" y="22082532"/>
          <a:ext cx="1047261" cy="807264"/>
        </a:xfrm>
        <a:prstGeom prst="rect">
          <a:avLst/>
        </a:prstGeom>
      </xdr:spPr>
    </xdr:pic>
    <xdr:clientData/>
  </xdr:twoCellAnchor>
  <xdr:twoCellAnchor>
    <xdr:from>
      <xdr:col>7</xdr:col>
      <xdr:colOff>167111</xdr:colOff>
      <xdr:row>103</xdr:row>
      <xdr:rowOff>193682</xdr:rowOff>
    </xdr:from>
    <xdr:to>
      <xdr:col>10</xdr:col>
      <xdr:colOff>69419</xdr:colOff>
      <xdr:row>110</xdr:row>
      <xdr:rowOff>100061</xdr:rowOff>
    </xdr:to>
    <xdr:sp macro="" textlink="">
      <xdr:nvSpPr>
        <xdr:cNvPr id="18" name="Rounded Rectangular Callout 17">
          <a:extLst>
            <a:ext uri="{FF2B5EF4-FFF2-40B4-BE49-F238E27FC236}">
              <a16:creationId xmlns:a16="http://schemas.microsoft.com/office/drawing/2014/main" id="{3BB0EE99-D584-3238-EB7A-B08BC153D3B0}"/>
            </a:ext>
          </a:extLst>
        </xdr:cNvPr>
        <xdr:cNvSpPr/>
      </xdr:nvSpPr>
      <xdr:spPr>
        <a:xfrm>
          <a:off x="13548175127" y="21529682"/>
          <a:ext cx="2384580" cy="1334167"/>
        </a:xfrm>
        <a:prstGeom prst="wedgeRoundRectCallout">
          <a:avLst>
            <a:gd name="adj1" fmla="val 53287"/>
            <a:gd name="adj2" fmla="val 32964"/>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דיבידנד הוא חלק מסוים מהרווח שהחברה מחלקת / מתחייבת לחלק למשקיעים (לבעלי המניות). </a:t>
          </a:r>
        </a:p>
        <a:p>
          <a:pPr algn="r" rtl="1"/>
          <a:r>
            <a:rPr lang="he-IL" sz="1100"/>
            <a:t>כשנוצר רווח: ההון העצמי גדל</a:t>
          </a:r>
        </a:p>
        <a:p>
          <a:pPr algn="r" rtl="1"/>
          <a:r>
            <a:rPr lang="he-IL" sz="1100"/>
            <a:t>כשהחברה מתחייבת לחלקו החוצה (הכרזת</a:t>
          </a:r>
          <a:r>
            <a:rPr lang="he-IL" sz="1100" baseline="0"/>
            <a:t> דיבידנד) ההון העצמי </a:t>
          </a:r>
          <a:r>
            <a:rPr lang="he-IL" sz="1100" u="sng" baseline="0"/>
            <a:t>קטן</a:t>
          </a:r>
          <a:endParaRPr lang="en-US" sz="1100" u="sng"/>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28946</xdr:colOff>
      <xdr:row>21</xdr:row>
      <xdr:rowOff>28946</xdr:rowOff>
    </xdr:from>
    <xdr:to>
      <xdr:col>5</xdr:col>
      <xdr:colOff>152036</xdr:colOff>
      <xdr:row>24</xdr:row>
      <xdr:rowOff>75983</xdr:rowOff>
    </xdr:to>
    <xdr:pic>
      <xdr:nvPicPr>
        <xdr:cNvPr id="2" name="Picture 1">
          <a:extLst>
            <a:ext uri="{FF2B5EF4-FFF2-40B4-BE49-F238E27FC236}">
              <a16:creationId xmlns:a16="http://schemas.microsoft.com/office/drawing/2014/main" id="{47973136-83BB-9ADF-F593-45F3087F8672}"/>
            </a:ext>
          </a:extLst>
        </xdr:cNvPr>
        <xdr:cNvPicPr>
          <a:picLocks noChangeAspect="1"/>
        </xdr:cNvPicPr>
      </xdr:nvPicPr>
      <xdr:blipFill>
        <a:blip xmlns:r="http://schemas.openxmlformats.org/officeDocument/2006/relationships" r:embed="rId1"/>
        <a:stretch>
          <a:fillRect/>
        </a:stretch>
      </xdr:blipFill>
      <xdr:spPr>
        <a:xfrm>
          <a:off x="13511949645" y="4602393"/>
          <a:ext cx="948047" cy="654901"/>
        </a:xfrm>
        <a:prstGeom prst="rect">
          <a:avLst/>
        </a:prstGeom>
      </xdr:spPr>
    </xdr:pic>
    <xdr:clientData/>
  </xdr:twoCellAnchor>
  <xdr:twoCellAnchor>
    <xdr:from>
      <xdr:col>5</xdr:col>
      <xdr:colOff>217095</xdr:colOff>
      <xdr:row>21</xdr:row>
      <xdr:rowOff>36182</xdr:rowOff>
    </xdr:from>
    <xdr:to>
      <xdr:col>8</xdr:col>
      <xdr:colOff>285841</xdr:colOff>
      <xdr:row>26</xdr:row>
      <xdr:rowOff>199002</xdr:rowOff>
    </xdr:to>
    <xdr:sp macro="" textlink="">
      <xdr:nvSpPr>
        <xdr:cNvPr id="6" name="Rectangular Callout 5">
          <a:extLst>
            <a:ext uri="{FF2B5EF4-FFF2-40B4-BE49-F238E27FC236}">
              <a16:creationId xmlns:a16="http://schemas.microsoft.com/office/drawing/2014/main" id="{9B6ABDE3-E466-253E-A16A-0B8DCFB90529}"/>
            </a:ext>
          </a:extLst>
        </xdr:cNvPr>
        <xdr:cNvSpPr/>
      </xdr:nvSpPr>
      <xdr:spPr>
        <a:xfrm>
          <a:off x="13509214330" y="4609629"/>
          <a:ext cx="2670256" cy="1175926"/>
        </a:xfrm>
        <a:prstGeom prst="wedgeRectCallout">
          <a:avLst>
            <a:gd name="adj1" fmla="val 60194"/>
            <a:gd name="adj2" fmla="val -1465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אני מציג בפניכם מקרה שבו יש פער בין היקפי השירות למזומן ששולם / התקבל בכל שנה, </a:t>
          </a:r>
        </a:p>
        <a:p>
          <a:pPr algn="r" rtl="1"/>
          <a:r>
            <a:rPr lang="he-IL" sz="1100"/>
            <a:t>לומדים</a:t>
          </a:r>
          <a:r>
            <a:rPr lang="he-IL" sz="1100" baseline="0"/>
            <a:t> - ברמה הפרקטית:</a:t>
          </a:r>
        </a:p>
        <a:p>
          <a:pPr algn="r" rtl="1"/>
          <a:r>
            <a:rPr lang="he-IL" sz="1100" baseline="0"/>
            <a:t>כיצד מבוצע הרישום הבסיסי (בהנהלת חשבונות, הבלתי מדוייק) וכיצד מתאמים / מעדכנים אותו לפני הפקת הדיווחים</a:t>
          </a:r>
          <a:endParaRPr lang="en-US" sz="1100"/>
        </a:p>
      </xdr:txBody>
    </xdr:sp>
    <xdr:clientData/>
  </xdr:twoCellAnchor>
  <xdr:twoCellAnchor>
    <xdr:from>
      <xdr:col>3</xdr:col>
      <xdr:colOff>387458</xdr:colOff>
      <xdr:row>53</xdr:row>
      <xdr:rowOff>360551</xdr:rowOff>
    </xdr:from>
    <xdr:to>
      <xdr:col>3</xdr:col>
      <xdr:colOff>398221</xdr:colOff>
      <xdr:row>54</xdr:row>
      <xdr:rowOff>425127</xdr:rowOff>
    </xdr:to>
    <xdr:cxnSp macro="">
      <xdr:nvCxnSpPr>
        <xdr:cNvPr id="11" name="Straight Arrow Connector 10">
          <a:extLst>
            <a:ext uri="{FF2B5EF4-FFF2-40B4-BE49-F238E27FC236}">
              <a16:creationId xmlns:a16="http://schemas.microsoft.com/office/drawing/2014/main" id="{3FB5139B-A625-1145-9FEF-6B0930C600A9}"/>
            </a:ext>
          </a:extLst>
        </xdr:cNvPr>
        <xdr:cNvCxnSpPr/>
      </xdr:nvCxnSpPr>
      <xdr:spPr>
        <a:xfrm>
          <a:off x="13487421525" y="12210297"/>
          <a:ext cx="10763" cy="495084"/>
        </a:xfrm>
        <a:prstGeom prst="straightConnector1">
          <a:avLst/>
        </a:prstGeom>
        <a:ln w="19050" cap="flat" cmpd="sng" algn="ctr">
          <a:solidFill>
            <a:schemeClr val="accent2"/>
          </a:solidFill>
          <a:prstDash val="solid"/>
          <a:round/>
          <a:headEnd type="arrow"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597331</xdr:colOff>
      <xdr:row>54</xdr:row>
      <xdr:rowOff>500467</xdr:rowOff>
    </xdr:from>
    <xdr:to>
      <xdr:col>4</xdr:col>
      <xdr:colOff>608094</xdr:colOff>
      <xdr:row>55</xdr:row>
      <xdr:rowOff>333644</xdr:rowOff>
    </xdr:to>
    <xdr:cxnSp macro="">
      <xdr:nvCxnSpPr>
        <xdr:cNvPr id="13" name="Straight Arrow Connector 12">
          <a:extLst>
            <a:ext uri="{FF2B5EF4-FFF2-40B4-BE49-F238E27FC236}">
              <a16:creationId xmlns:a16="http://schemas.microsoft.com/office/drawing/2014/main" id="{A90CEFC3-F5D3-ACC0-66C6-19AA13E90E51}"/>
            </a:ext>
          </a:extLst>
        </xdr:cNvPr>
        <xdr:cNvCxnSpPr/>
      </xdr:nvCxnSpPr>
      <xdr:spPr>
        <a:xfrm>
          <a:off x="13485952415" y="12780721"/>
          <a:ext cx="10763" cy="495084"/>
        </a:xfrm>
        <a:prstGeom prst="straightConnector1">
          <a:avLst/>
        </a:prstGeom>
        <a:ln w="19050" cap="flat" cmpd="sng" algn="ctr">
          <a:solidFill>
            <a:schemeClr val="accent2"/>
          </a:solidFill>
          <a:prstDash val="solid"/>
          <a:round/>
          <a:headEnd type="arrow"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446653</xdr:colOff>
      <xdr:row>55</xdr:row>
      <xdr:rowOff>285213</xdr:rowOff>
    </xdr:from>
    <xdr:to>
      <xdr:col>4</xdr:col>
      <xdr:colOff>457416</xdr:colOff>
      <xdr:row>56</xdr:row>
      <xdr:rowOff>322882</xdr:rowOff>
    </xdr:to>
    <xdr:cxnSp macro="">
      <xdr:nvCxnSpPr>
        <xdr:cNvPr id="14" name="Straight Arrow Connector 13">
          <a:extLst>
            <a:ext uri="{FF2B5EF4-FFF2-40B4-BE49-F238E27FC236}">
              <a16:creationId xmlns:a16="http://schemas.microsoft.com/office/drawing/2014/main" id="{BE472259-9D63-4BBA-11CE-26BB77B19755}"/>
            </a:ext>
          </a:extLst>
        </xdr:cNvPr>
        <xdr:cNvCxnSpPr/>
      </xdr:nvCxnSpPr>
      <xdr:spPr>
        <a:xfrm>
          <a:off x="13486103093" y="13227374"/>
          <a:ext cx="10763" cy="495084"/>
        </a:xfrm>
        <a:prstGeom prst="straightConnector1">
          <a:avLst/>
        </a:prstGeom>
        <a:ln w="19050" cap="flat" cmpd="sng" algn="ctr">
          <a:solidFill>
            <a:schemeClr val="accent2"/>
          </a:solidFill>
          <a:prstDash val="solid"/>
          <a:round/>
          <a:headEnd type="arrow"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613475</xdr:colOff>
      <xdr:row>56</xdr:row>
      <xdr:rowOff>226019</xdr:rowOff>
    </xdr:from>
    <xdr:to>
      <xdr:col>4</xdr:col>
      <xdr:colOff>624238</xdr:colOff>
      <xdr:row>57</xdr:row>
      <xdr:rowOff>290594</xdr:rowOff>
    </xdr:to>
    <xdr:cxnSp macro="">
      <xdr:nvCxnSpPr>
        <xdr:cNvPr id="15" name="Straight Arrow Connector 14">
          <a:extLst>
            <a:ext uri="{FF2B5EF4-FFF2-40B4-BE49-F238E27FC236}">
              <a16:creationId xmlns:a16="http://schemas.microsoft.com/office/drawing/2014/main" id="{B9560D40-3F1D-AD5D-2E83-04D72B2E9508}"/>
            </a:ext>
          </a:extLst>
        </xdr:cNvPr>
        <xdr:cNvCxnSpPr/>
      </xdr:nvCxnSpPr>
      <xdr:spPr>
        <a:xfrm>
          <a:off x="13485936271" y="13625595"/>
          <a:ext cx="10763" cy="495084"/>
        </a:xfrm>
        <a:prstGeom prst="straightConnector1">
          <a:avLst/>
        </a:prstGeom>
        <a:ln w="19050" cap="flat" cmpd="sng" algn="ctr">
          <a:solidFill>
            <a:schemeClr val="accent2"/>
          </a:solidFill>
          <a:prstDash val="solid"/>
          <a:round/>
          <a:headEnd type="arrow"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editAs="oneCell">
    <xdr:from>
      <xdr:col>7</xdr:col>
      <xdr:colOff>334565</xdr:colOff>
      <xdr:row>46</xdr:row>
      <xdr:rowOff>150677</xdr:rowOff>
    </xdr:from>
    <xdr:to>
      <xdr:col>10</xdr:col>
      <xdr:colOff>341609</xdr:colOff>
      <xdr:row>58</xdr:row>
      <xdr:rowOff>80505</xdr:rowOff>
    </xdr:to>
    <xdr:pic>
      <xdr:nvPicPr>
        <xdr:cNvPr id="16" name="Picture 15">
          <a:extLst>
            <a:ext uri="{FF2B5EF4-FFF2-40B4-BE49-F238E27FC236}">
              <a16:creationId xmlns:a16="http://schemas.microsoft.com/office/drawing/2014/main" id="{6F08EBB1-741D-FB0D-D995-BB1E6C43E151}"/>
            </a:ext>
          </a:extLst>
        </xdr:cNvPr>
        <xdr:cNvPicPr>
          <a:picLocks noChangeAspect="1"/>
        </xdr:cNvPicPr>
      </xdr:nvPicPr>
      <xdr:blipFill>
        <a:blip xmlns:r="http://schemas.openxmlformats.org/officeDocument/2006/relationships" r:embed="rId2"/>
        <a:stretch>
          <a:fillRect/>
        </a:stretch>
      </xdr:blipFill>
      <xdr:spPr>
        <a:xfrm>
          <a:off x="13481048062" y="10558219"/>
          <a:ext cx="2578687" cy="384745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5</xdr:col>
      <xdr:colOff>54259</xdr:colOff>
      <xdr:row>57</xdr:row>
      <xdr:rowOff>10902</xdr:rowOff>
    </xdr:from>
    <xdr:to>
      <xdr:col>7</xdr:col>
      <xdr:colOff>412780</xdr:colOff>
      <xdr:row>70</xdr:row>
      <xdr:rowOff>48780</xdr:rowOff>
    </xdr:to>
    <xdr:pic>
      <xdr:nvPicPr>
        <xdr:cNvPr id="22" name="Picture 21">
          <a:extLst>
            <a:ext uri="{FF2B5EF4-FFF2-40B4-BE49-F238E27FC236}">
              <a16:creationId xmlns:a16="http://schemas.microsoft.com/office/drawing/2014/main" id="{B348EDB7-E9BE-7748-E56B-35C3A56BB5D1}"/>
            </a:ext>
          </a:extLst>
        </xdr:cNvPr>
        <xdr:cNvPicPr>
          <a:picLocks noChangeAspect="1"/>
        </xdr:cNvPicPr>
      </xdr:nvPicPr>
      <xdr:blipFill>
        <a:blip xmlns:r="http://schemas.openxmlformats.org/officeDocument/2006/relationships" r:embed="rId1"/>
        <a:stretch>
          <a:fillRect/>
        </a:stretch>
      </xdr:blipFill>
      <xdr:spPr>
        <a:xfrm>
          <a:off x="13478631383" y="12907125"/>
          <a:ext cx="2135431" cy="2659638"/>
        </a:xfrm>
        <a:prstGeom prst="rect">
          <a:avLst/>
        </a:prstGeom>
      </xdr:spPr>
    </xdr:pic>
    <xdr:clientData/>
  </xdr:twoCellAnchor>
  <xdr:twoCellAnchor editAs="oneCell">
    <xdr:from>
      <xdr:col>5</xdr:col>
      <xdr:colOff>417474</xdr:colOff>
      <xdr:row>122</xdr:row>
      <xdr:rowOff>14749</xdr:rowOff>
    </xdr:from>
    <xdr:to>
      <xdr:col>9</xdr:col>
      <xdr:colOff>299358</xdr:colOff>
      <xdr:row>132</xdr:row>
      <xdr:rowOff>195576</xdr:rowOff>
    </xdr:to>
    <xdr:pic>
      <xdr:nvPicPr>
        <xdr:cNvPr id="2" name="Picture 1" descr="How to Boil Hot Dogs - Gourmet Hot Dogs on the Stovetop">
          <a:extLst>
            <a:ext uri="{FF2B5EF4-FFF2-40B4-BE49-F238E27FC236}">
              <a16:creationId xmlns:a16="http://schemas.microsoft.com/office/drawing/2014/main" id="{3C747CEE-30CD-4672-A91C-8F520A8FC211}"/>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3528057043" y="27423019"/>
          <a:ext cx="3313960" cy="22022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xdr:col>
      <xdr:colOff>685227</xdr:colOff>
      <xdr:row>49</xdr:row>
      <xdr:rowOff>130815</xdr:rowOff>
    </xdr:from>
    <xdr:to>
      <xdr:col>6</xdr:col>
      <xdr:colOff>599571</xdr:colOff>
      <xdr:row>50</xdr:row>
      <xdr:rowOff>201674</xdr:rowOff>
    </xdr:to>
    <xdr:cxnSp macro="">
      <xdr:nvCxnSpPr>
        <xdr:cNvPr id="5" name="Straight Arrow Connector 4">
          <a:extLst>
            <a:ext uri="{FF2B5EF4-FFF2-40B4-BE49-F238E27FC236}">
              <a16:creationId xmlns:a16="http://schemas.microsoft.com/office/drawing/2014/main" id="{DCC657FC-F937-EF4A-24C8-C3F5920BDE92}"/>
            </a:ext>
          </a:extLst>
        </xdr:cNvPr>
        <xdr:cNvCxnSpPr/>
      </xdr:nvCxnSpPr>
      <xdr:spPr>
        <a:xfrm flipH="1" flipV="1">
          <a:off x="13479398455" y="11413648"/>
          <a:ext cx="737391" cy="27253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714034</xdr:colOff>
      <xdr:row>51</xdr:row>
      <xdr:rowOff>103562</xdr:rowOff>
    </xdr:from>
    <xdr:to>
      <xdr:col>6</xdr:col>
      <xdr:colOff>545065</xdr:colOff>
      <xdr:row>52</xdr:row>
      <xdr:rowOff>152618</xdr:rowOff>
    </xdr:to>
    <xdr:cxnSp macro="">
      <xdr:nvCxnSpPr>
        <xdr:cNvPr id="17" name="Straight Arrow Connector 16">
          <a:extLst>
            <a:ext uri="{FF2B5EF4-FFF2-40B4-BE49-F238E27FC236}">
              <a16:creationId xmlns:a16="http://schemas.microsoft.com/office/drawing/2014/main" id="{0C597873-E391-EF9A-9F32-8FD02EEDE88D}"/>
            </a:ext>
          </a:extLst>
        </xdr:cNvPr>
        <xdr:cNvCxnSpPr/>
      </xdr:nvCxnSpPr>
      <xdr:spPr>
        <a:xfrm flipH="1">
          <a:off x="13479452961" y="11789742"/>
          <a:ext cx="654078" cy="25073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669139</xdr:colOff>
      <xdr:row>248</xdr:row>
      <xdr:rowOff>136559</xdr:rowOff>
    </xdr:from>
    <xdr:to>
      <xdr:col>1</xdr:col>
      <xdr:colOff>710107</xdr:colOff>
      <xdr:row>250</xdr:row>
      <xdr:rowOff>27311</xdr:rowOff>
    </xdr:to>
    <xdr:sp macro="" textlink="">
      <xdr:nvSpPr>
        <xdr:cNvPr id="32" name="Rectangular Callout 31">
          <a:extLst>
            <a:ext uri="{FF2B5EF4-FFF2-40B4-BE49-F238E27FC236}">
              <a16:creationId xmlns:a16="http://schemas.microsoft.com/office/drawing/2014/main" id="{9C85A68D-CB15-0DEC-3A58-980E0E0D793C}"/>
            </a:ext>
          </a:extLst>
        </xdr:cNvPr>
        <xdr:cNvSpPr/>
      </xdr:nvSpPr>
      <xdr:spPr>
        <a:xfrm>
          <a:off x="13498311076" y="51373548"/>
          <a:ext cx="864875" cy="300430"/>
        </a:xfrm>
        <a:prstGeom prst="wedgeRectCallout">
          <a:avLst>
            <a:gd name="adj1" fmla="val -21199"/>
            <a:gd name="adj2" fmla="val -8522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תשובה ל-א</a:t>
          </a:r>
          <a:endParaRPr lang="en-US" sz="1100"/>
        </a:p>
      </xdr:txBody>
    </xdr:sp>
    <xdr:clientData/>
  </xdr:twoCellAnchor>
  <xdr:twoCellAnchor>
    <xdr:from>
      <xdr:col>1</xdr:col>
      <xdr:colOff>937705</xdr:colOff>
      <xdr:row>248</xdr:row>
      <xdr:rowOff>150215</xdr:rowOff>
    </xdr:from>
    <xdr:to>
      <xdr:col>2</xdr:col>
      <xdr:colOff>787491</xdr:colOff>
      <xdr:row>250</xdr:row>
      <xdr:rowOff>40967</xdr:rowOff>
    </xdr:to>
    <xdr:sp macro="" textlink="">
      <xdr:nvSpPr>
        <xdr:cNvPr id="34" name="Rectangular Callout 33">
          <a:extLst>
            <a:ext uri="{FF2B5EF4-FFF2-40B4-BE49-F238E27FC236}">
              <a16:creationId xmlns:a16="http://schemas.microsoft.com/office/drawing/2014/main" id="{1E3D2420-D116-DCA4-45B2-5E41EB92EFF1}"/>
            </a:ext>
          </a:extLst>
        </xdr:cNvPr>
        <xdr:cNvSpPr/>
      </xdr:nvSpPr>
      <xdr:spPr>
        <a:xfrm>
          <a:off x="13497218603" y="51409964"/>
          <a:ext cx="864875" cy="300430"/>
        </a:xfrm>
        <a:prstGeom prst="wedgeRectCallout">
          <a:avLst>
            <a:gd name="adj1" fmla="val -21199"/>
            <a:gd name="adj2" fmla="val -8522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תשובה ל-ב</a:t>
          </a:r>
          <a:endParaRPr lang="en-US" sz="1100"/>
        </a:p>
      </xdr:txBody>
    </xdr:sp>
    <xdr:clientData/>
  </xdr:twoCellAnchor>
  <xdr:twoCellAnchor>
    <xdr:from>
      <xdr:col>3</xdr:col>
      <xdr:colOff>127454</xdr:colOff>
      <xdr:row>248</xdr:row>
      <xdr:rowOff>132007</xdr:rowOff>
    </xdr:from>
    <xdr:to>
      <xdr:col>3</xdr:col>
      <xdr:colOff>992329</xdr:colOff>
      <xdr:row>250</xdr:row>
      <xdr:rowOff>22759</xdr:rowOff>
    </xdr:to>
    <xdr:sp macro="" textlink="">
      <xdr:nvSpPr>
        <xdr:cNvPr id="37" name="Rectangular Callout 36">
          <a:extLst>
            <a:ext uri="{FF2B5EF4-FFF2-40B4-BE49-F238E27FC236}">
              <a16:creationId xmlns:a16="http://schemas.microsoft.com/office/drawing/2014/main" id="{995F9056-8E3B-D65D-D336-CC3597C1DF42}"/>
            </a:ext>
          </a:extLst>
        </xdr:cNvPr>
        <xdr:cNvSpPr/>
      </xdr:nvSpPr>
      <xdr:spPr>
        <a:xfrm>
          <a:off x="13496076058" y="51391756"/>
          <a:ext cx="864875" cy="300430"/>
        </a:xfrm>
        <a:prstGeom prst="wedgeRectCallout">
          <a:avLst>
            <a:gd name="adj1" fmla="val -21199"/>
            <a:gd name="adj2" fmla="val -8522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תשובה ל-ג</a:t>
          </a:r>
          <a:endParaRPr lang="en-US" sz="1100"/>
        </a:p>
      </xdr:txBody>
    </xdr:sp>
    <xdr:clientData/>
  </xdr:twoCellAnchor>
  <xdr:twoCellAnchor>
    <xdr:from>
      <xdr:col>5</xdr:col>
      <xdr:colOff>555339</xdr:colOff>
      <xdr:row>248</xdr:row>
      <xdr:rowOff>113799</xdr:rowOff>
    </xdr:from>
    <xdr:to>
      <xdr:col>6</xdr:col>
      <xdr:colOff>596307</xdr:colOff>
      <xdr:row>250</xdr:row>
      <xdr:rowOff>4551</xdr:rowOff>
    </xdr:to>
    <xdr:sp macro="" textlink="">
      <xdr:nvSpPr>
        <xdr:cNvPr id="38" name="Rectangular Callout 37">
          <a:extLst>
            <a:ext uri="{FF2B5EF4-FFF2-40B4-BE49-F238E27FC236}">
              <a16:creationId xmlns:a16="http://schemas.microsoft.com/office/drawing/2014/main" id="{A651D2EE-5B31-F4B2-BBAB-E7E50EAB9A4A}"/>
            </a:ext>
          </a:extLst>
        </xdr:cNvPr>
        <xdr:cNvSpPr/>
      </xdr:nvSpPr>
      <xdr:spPr>
        <a:xfrm>
          <a:off x="13493476883" y="51373548"/>
          <a:ext cx="864875" cy="300430"/>
        </a:xfrm>
        <a:prstGeom prst="wedgeRectCallout">
          <a:avLst>
            <a:gd name="adj1" fmla="val -21199"/>
            <a:gd name="adj2" fmla="val -8522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תשובה ל-ד</a:t>
          </a:r>
          <a:endParaRPr lang="en-US" sz="1100"/>
        </a:p>
      </xdr:txBody>
    </xdr:sp>
    <xdr:clientData/>
  </xdr:twoCellAnchor>
  <xdr:twoCellAnchor>
    <xdr:from>
      <xdr:col>0</xdr:col>
      <xdr:colOff>0</xdr:colOff>
      <xdr:row>259</xdr:row>
      <xdr:rowOff>168423</xdr:rowOff>
    </xdr:from>
    <xdr:to>
      <xdr:col>7</xdr:col>
      <xdr:colOff>568996</xdr:colOff>
      <xdr:row>270</xdr:row>
      <xdr:rowOff>154767</xdr:rowOff>
    </xdr:to>
    <xdr:sp macro="" textlink="">
      <xdr:nvSpPr>
        <xdr:cNvPr id="39" name="TextBox 38">
          <a:extLst>
            <a:ext uri="{FF2B5EF4-FFF2-40B4-BE49-F238E27FC236}">
              <a16:creationId xmlns:a16="http://schemas.microsoft.com/office/drawing/2014/main" id="{AC0CC784-3A7F-CD35-A71F-DF0E24FB5859}"/>
            </a:ext>
          </a:extLst>
        </xdr:cNvPr>
        <xdr:cNvSpPr txBox="1"/>
      </xdr:nvSpPr>
      <xdr:spPr>
        <a:xfrm>
          <a:off x="13492552832" y="53681398"/>
          <a:ext cx="7292258" cy="22395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rtl="1"/>
          <a:r>
            <a:rPr lang="he-IL" sz="1100" b="1">
              <a:solidFill>
                <a:schemeClr val="dk1"/>
              </a:solidFill>
              <a:effectLst/>
              <a:latin typeface="David" panose="020E0502060401010101" pitchFamily="34" charset="-79"/>
              <a:ea typeface="+mn-ea"/>
              <a:cs typeface="David" panose="020E0502060401010101" pitchFamily="34" charset="-79"/>
            </a:rPr>
            <a:t>שאלה 1 (12.5 נק׳)</a:t>
          </a:r>
          <a:endParaRPr lang="en-IL" sz="1100">
            <a:solidFill>
              <a:schemeClr val="dk1"/>
            </a:solidFill>
            <a:effectLst/>
            <a:latin typeface="David" panose="020E0502060401010101" pitchFamily="34" charset="-79"/>
            <a:ea typeface="+mn-ea"/>
            <a:cs typeface="David" panose="020E0502060401010101" pitchFamily="34" charset="-79"/>
          </a:endParaRPr>
        </a:p>
        <a:p>
          <a:pPr rtl="1"/>
          <a:r>
            <a:rPr lang="he-IL" sz="1100">
              <a:solidFill>
                <a:schemeClr val="dk1"/>
              </a:solidFill>
              <a:effectLst/>
              <a:latin typeface="David" panose="020E0502060401010101" pitchFamily="34" charset="-79"/>
              <a:ea typeface="+mn-ea"/>
              <a:cs typeface="David" panose="020E0502060401010101" pitchFamily="34" charset="-79"/>
            </a:rPr>
            <a:t>חברת ״קונדור נקניק איכותי לחיים״ בע״מ (להלן: ״החברה״) עוסקת בייעוץ. לאחרונה התקשרה החברה בפרויקט במסגרתו תספק שירותי ייעוץ בתחום חימום הנקניק בהיקפים ובתנאי התשלום כדלקמן:</a:t>
          </a:r>
          <a:endParaRPr lang="en-IL" sz="1100">
            <a:solidFill>
              <a:schemeClr val="dk1"/>
            </a:solidFill>
            <a:effectLst/>
            <a:latin typeface="David" panose="020E0502060401010101" pitchFamily="34" charset="-79"/>
            <a:ea typeface="+mn-ea"/>
            <a:cs typeface="David" panose="020E0502060401010101" pitchFamily="34" charset="-79"/>
          </a:endParaRPr>
        </a:p>
        <a:p>
          <a:pPr rtl="1"/>
          <a:r>
            <a:rPr lang="he-IL" sz="1100">
              <a:solidFill>
                <a:schemeClr val="dk1"/>
              </a:solidFill>
              <a:effectLst/>
              <a:latin typeface="David" panose="020E0502060401010101" pitchFamily="34" charset="-79"/>
              <a:ea typeface="+mn-ea"/>
              <a:cs typeface="David" panose="020E0502060401010101" pitchFamily="34" charset="-79"/>
            </a:rPr>
            <a:t> </a:t>
          </a:r>
          <a:endParaRPr lang="en-IL" sz="1100">
            <a:solidFill>
              <a:schemeClr val="dk1"/>
            </a:solidFill>
            <a:effectLst/>
            <a:latin typeface="David" panose="020E0502060401010101" pitchFamily="34" charset="-79"/>
            <a:ea typeface="+mn-ea"/>
            <a:cs typeface="David" panose="020E0502060401010101" pitchFamily="34" charset="-79"/>
          </a:endParaRPr>
        </a:p>
        <a:p>
          <a:pPr rtl="1"/>
          <a:r>
            <a:rPr lang="he-IL" sz="1100">
              <a:solidFill>
                <a:schemeClr val="dk1"/>
              </a:solidFill>
              <a:effectLst/>
              <a:latin typeface="David" panose="020E0502060401010101" pitchFamily="34" charset="-79"/>
              <a:ea typeface="+mn-ea"/>
              <a:cs typeface="David" panose="020E0502060401010101" pitchFamily="34" charset="-79"/>
            </a:rPr>
            <a:t>בשנת 2020, תספק שירות בשווי 100,000 ש״ח ותקבל תשלום בסך 80,000 ש״ח.</a:t>
          </a:r>
          <a:endParaRPr lang="en-IL" sz="1100">
            <a:solidFill>
              <a:schemeClr val="dk1"/>
            </a:solidFill>
            <a:effectLst/>
            <a:latin typeface="David" panose="020E0502060401010101" pitchFamily="34" charset="-79"/>
            <a:ea typeface="+mn-ea"/>
            <a:cs typeface="David" panose="020E0502060401010101" pitchFamily="34" charset="-79"/>
          </a:endParaRPr>
        </a:p>
        <a:p>
          <a:pPr rtl="1"/>
          <a:r>
            <a:rPr lang="he-IL" sz="1100">
              <a:solidFill>
                <a:schemeClr val="dk1"/>
              </a:solidFill>
              <a:effectLst/>
              <a:latin typeface="David" panose="020E0502060401010101" pitchFamily="34" charset="-79"/>
              <a:ea typeface="+mn-ea"/>
              <a:cs typeface="David" panose="020E0502060401010101" pitchFamily="34" charset="-79"/>
            </a:rPr>
            <a:t>בשנת 2021, תספק שירות בשווי 200,000 ש״ח ותקבל תשלום בסך 170,000 ש״ח.</a:t>
          </a:r>
          <a:endParaRPr lang="en-IL" sz="1100">
            <a:solidFill>
              <a:schemeClr val="dk1"/>
            </a:solidFill>
            <a:effectLst/>
            <a:latin typeface="David" panose="020E0502060401010101" pitchFamily="34" charset="-79"/>
            <a:ea typeface="+mn-ea"/>
            <a:cs typeface="David" panose="020E0502060401010101" pitchFamily="34" charset="-79"/>
          </a:endParaRPr>
        </a:p>
        <a:p>
          <a:pPr rtl="1"/>
          <a:r>
            <a:rPr lang="he-IL" sz="1100">
              <a:solidFill>
                <a:schemeClr val="dk1"/>
              </a:solidFill>
              <a:effectLst/>
              <a:latin typeface="David" panose="020E0502060401010101" pitchFamily="34" charset="-79"/>
              <a:ea typeface="+mn-ea"/>
              <a:cs typeface="David" panose="020E0502060401010101" pitchFamily="34" charset="-79"/>
            </a:rPr>
            <a:t>בשנת 2022, תספק שירות בשווי 300,000 ש״ח ותקבל תשלום בסך 600,000 ש״ח.</a:t>
          </a:r>
          <a:endParaRPr lang="en-IL" sz="1100">
            <a:solidFill>
              <a:schemeClr val="dk1"/>
            </a:solidFill>
            <a:effectLst/>
            <a:latin typeface="David" panose="020E0502060401010101" pitchFamily="34" charset="-79"/>
            <a:ea typeface="+mn-ea"/>
            <a:cs typeface="David" panose="020E0502060401010101" pitchFamily="34" charset="-79"/>
          </a:endParaRPr>
        </a:p>
        <a:p>
          <a:pPr rtl="1"/>
          <a:r>
            <a:rPr lang="he-IL" sz="1100">
              <a:solidFill>
                <a:schemeClr val="dk1"/>
              </a:solidFill>
              <a:effectLst/>
              <a:latin typeface="David" panose="020E0502060401010101" pitchFamily="34" charset="-79"/>
              <a:ea typeface="+mn-ea"/>
              <a:cs typeface="David" panose="020E0502060401010101" pitchFamily="34" charset="-79"/>
            </a:rPr>
            <a:t>בשנת 2023, תספק שירות בשווי 400,000 ש״ח ותקבל את שארית התשלום המגיעה לה, ובמועד זה יסתיים התוקף של הסכם השירות.</a:t>
          </a:r>
          <a:endParaRPr lang="en-IL" sz="1100">
            <a:solidFill>
              <a:schemeClr val="dk1"/>
            </a:solidFill>
            <a:effectLst/>
            <a:latin typeface="David" panose="020E0502060401010101" pitchFamily="34" charset="-79"/>
            <a:ea typeface="+mn-ea"/>
            <a:cs typeface="David" panose="020E0502060401010101" pitchFamily="34" charset="-79"/>
          </a:endParaRPr>
        </a:p>
        <a:p>
          <a:pPr rtl="1"/>
          <a:r>
            <a:rPr lang="he-IL" sz="1100">
              <a:solidFill>
                <a:schemeClr val="dk1"/>
              </a:solidFill>
              <a:effectLst/>
              <a:latin typeface="David" panose="020E0502060401010101" pitchFamily="34" charset="-79"/>
              <a:ea typeface="+mn-ea"/>
              <a:cs typeface="David" panose="020E0502060401010101" pitchFamily="34" charset="-79"/>
            </a:rPr>
            <a:t> </a:t>
          </a:r>
          <a:endParaRPr lang="en-IL" sz="1100">
            <a:solidFill>
              <a:schemeClr val="dk1"/>
            </a:solidFill>
            <a:effectLst/>
            <a:latin typeface="David" panose="020E0502060401010101" pitchFamily="34" charset="-79"/>
            <a:ea typeface="+mn-ea"/>
            <a:cs typeface="David" panose="020E0502060401010101" pitchFamily="34" charset="-79"/>
          </a:endParaRPr>
        </a:p>
        <a:p>
          <a:pPr rtl="1"/>
          <a:r>
            <a:rPr lang="he-IL" sz="1100">
              <a:solidFill>
                <a:schemeClr val="dk1"/>
              </a:solidFill>
              <a:effectLst/>
              <a:latin typeface="David" panose="020E0502060401010101" pitchFamily="34" charset="-79"/>
              <a:ea typeface="+mn-ea"/>
              <a:cs typeface="David" panose="020E0502060401010101" pitchFamily="34" charset="-79"/>
            </a:rPr>
            <a:t>בנתונים אלו, ועבור כל אחת מהשנים הנדונות, נדרש:</a:t>
          </a:r>
          <a:endParaRPr lang="en-IL" sz="1100">
            <a:solidFill>
              <a:schemeClr val="dk1"/>
            </a:solidFill>
            <a:effectLst/>
            <a:latin typeface="David" panose="020E0502060401010101" pitchFamily="34" charset="-79"/>
            <a:ea typeface="+mn-ea"/>
            <a:cs typeface="David" panose="020E0502060401010101" pitchFamily="34" charset="-79"/>
          </a:endParaRPr>
        </a:p>
        <a:p>
          <a:pPr lvl="0" rtl="1"/>
          <a:r>
            <a:rPr lang="he-IL" sz="1100">
              <a:solidFill>
                <a:schemeClr val="dk1"/>
              </a:solidFill>
              <a:effectLst/>
              <a:latin typeface="David" panose="020E0502060401010101" pitchFamily="34" charset="-79"/>
              <a:ea typeface="+mn-ea"/>
              <a:cs typeface="David" panose="020E0502060401010101" pitchFamily="34" charset="-79"/>
            </a:rPr>
            <a:t>א. להציג את פקודת היומן שנרשמת בהנהלת חשבונות על בסיס מזומן. </a:t>
          </a:r>
          <a:endParaRPr lang="en-IL" sz="1100">
            <a:solidFill>
              <a:schemeClr val="dk1"/>
            </a:solidFill>
            <a:effectLst/>
            <a:latin typeface="David" panose="020E0502060401010101" pitchFamily="34" charset="-79"/>
            <a:ea typeface="+mn-ea"/>
            <a:cs typeface="David" panose="020E0502060401010101" pitchFamily="34" charset="-79"/>
          </a:endParaRPr>
        </a:p>
        <a:p>
          <a:pPr lvl="0" rtl="1"/>
          <a:r>
            <a:rPr lang="he-IL" sz="1100">
              <a:solidFill>
                <a:schemeClr val="dk1"/>
              </a:solidFill>
              <a:effectLst/>
              <a:latin typeface="David" panose="020E0502060401010101" pitchFamily="34" charset="-79"/>
              <a:ea typeface="+mn-ea"/>
              <a:cs typeface="David" panose="020E0502060401010101" pitchFamily="34" charset="-79"/>
            </a:rPr>
            <a:t>ב. להציג את ההכנסה שתירשם בדוח רווח והפסד לפי בסיס צבירה.</a:t>
          </a:r>
          <a:endParaRPr lang="en-IL" sz="1100">
            <a:solidFill>
              <a:schemeClr val="dk1"/>
            </a:solidFill>
            <a:effectLst/>
            <a:latin typeface="David" panose="020E0502060401010101" pitchFamily="34" charset="-79"/>
            <a:ea typeface="+mn-ea"/>
            <a:cs typeface="David" panose="020E0502060401010101" pitchFamily="34" charset="-79"/>
          </a:endParaRPr>
        </a:p>
        <a:p>
          <a:pPr lvl="0" rtl="1"/>
          <a:r>
            <a:rPr lang="he-IL" sz="1100">
              <a:solidFill>
                <a:schemeClr val="dk1"/>
              </a:solidFill>
              <a:effectLst/>
              <a:latin typeface="David" panose="020E0502060401010101" pitchFamily="34" charset="-79"/>
              <a:ea typeface="+mn-ea"/>
              <a:cs typeface="David" panose="020E0502060401010101" pitchFamily="34" charset="-79"/>
            </a:rPr>
            <a:t>ג. להציג את פקודת ההתאמה או ״פקודת החתך״ שתירשם בכל שנה.</a:t>
          </a:r>
          <a:endParaRPr lang="en-IL" sz="1100">
            <a:solidFill>
              <a:schemeClr val="dk1"/>
            </a:solidFill>
            <a:effectLst/>
            <a:latin typeface="David" panose="020E0502060401010101" pitchFamily="34" charset="-79"/>
            <a:ea typeface="+mn-ea"/>
            <a:cs typeface="David" panose="020E0502060401010101" pitchFamily="34" charset="-79"/>
          </a:endParaRPr>
        </a:p>
        <a:p>
          <a:pPr lvl="0" rtl="1"/>
          <a:r>
            <a:rPr lang="he-IL" sz="1100">
              <a:solidFill>
                <a:schemeClr val="dk1"/>
              </a:solidFill>
              <a:effectLst/>
              <a:latin typeface="David" panose="020E0502060401010101" pitchFamily="34" charset="-79"/>
              <a:ea typeface="+mn-ea"/>
              <a:cs typeface="David" panose="020E0502060401010101" pitchFamily="34" charset="-79"/>
            </a:rPr>
            <a:t>ד. להציג את יתרת החתך לתום כל אחת מהשנים, כולל שם, סכום וסיווג (נכס / התחייבות). </a:t>
          </a:r>
          <a:endParaRPr lang="en-IL" sz="1100">
            <a:solidFill>
              <a:schemeClr val="dk1"/>
            </a:solidFill>
            <a:effectLst/>
            <a:latin typeface="David" panose="020E0502060401010101" pitchFamily="34" charset="-79"/>
            <a:ea typeface="+mn-ea"/>
            <a:cs typeface="David" panose="020E0502060401010101" pitchFamily="34" charset="-79"/>
          </a:endParaRPr>
        </a:p>
        <a:p>
          <a:pPr algn="r" rtl="1"/>
          <a:endParaRPr lang="en-US" sz="1100">
            <a:latin typeface="David" panose="020E0502060401010101" pitchFamily="34" charset="-79"/>
            <a:cs typeface="David" panose="020E0502060401010101" pitchFamily="34" charset="-79"/>
          </a:endParaRPr>
        </a:p>
      </xdr:txBody>
    </xdr:sp>
    <xdr:clientData/>
  </xdr:twoCellAnchor>
  <xdr:twoCellAnchor>
    <xdr:from>
      <xdr:col>5</xdr:col>
      <xdr:colOff>730250</xdr:colOff>
      <xdr:row>60</xdr:row>
      <xdr:rowOff>193675</xdr:rowOff>
    </xdr:from>
    <xdr:to>
      <xdr:col>6</xdr:col>
      <xdr:colOff>215900</xdr:colOff>
      <xdr:row>62</xdr:row>
      <xdr:rowOff>38100</xdr:rowOff>
    </xdr:to>
    <xdr:sp macro="" textlink="">
      <xdr:nvSpPr>
        <xdr:cNvPr id="14" name="Oval 13">
          <a:extLst>
            <a:ext uri="{FF2B5EF4-FFF2-40B4-BE49-F238E27FC236}">
              <a16:creationId xmlns:a16="http://schemas.microsoft.com/office/drawing/2014/main" id="{8148AD95-FE82-429C-CF2B-6D9A14719BE3}"/>
            </a:ext>
          </a:extLst>
        </xdr:cNvPr>
        <xdr:cNvSpPr/>
      </xdr:nvSpPr>
      <xdr:spPr>
        <a:xfrm>
          <a:off x="13519950100" y="13782675"/>
          <a:ext cx="311150" cy="250825"/>
        </a:xfrm>
        <a:prstGeom prst="ellipse">
          <a:avLst/>
        </a:prstGeom>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234950</xdr:colOff>
      <xdr:row>61</xdr:row>
      <xdr:rowOff>79375</xdr:rowOff>
    </xdr:from>
    <xdr:to>
      <xdr:col>6</xdr:col>
      <xdr:colOff>482600</xdr:colOff>
      <xdr:row>61</xdr:row>
      <xdr:rowOff>155575</xdr:rowOff>
    </xdr:to>
    <xdr:sp macro="" textlink="">
      <xdr:nvSpPr>
        <xdr:cNvPr id="19" name="Freeform 18">
          <a:extLst>
            <a:ext uri="{FF2B5EF4-FFF2-40B4-BE49-F238E27FC236}">
              <a16:creationId xmlns:a16="http://schemas.microsoft.com/office/drawing/2014/main" id="{F6354E4C-5AFA-FF67-F1E8-F2716BE6F51A}"/>
            </a:ext>
          </a:extLst>
        </xdr:cNvPr>
        <xdr:cNvSpPr/>
      </xdr:nvSpPr>
      <xdr:spPr>
        <a:xfrm>
          <a:off x="13519683400" y="13871575"/>
          <a:ext cx="247650" cy="76200"/>
        </a:xfrm>
        <a:custGeom>
          <a:avLst/>
          <a:gdLst>
            <a:gd name="connsiteX0" fmla="*/ 247650 w 247650"/>
            <a:gd name="connsiteY0" fmla="*/ 22225 h 76200"/>
            <a:gd name="connsiteX1" fmla="*/ 200025 w 247650"/>
            <a:gd name="connsiteY1" fmla="*/ 15875 h 76200"/>
            <a:gd name="connsiteX2" fmla="*/ 187325 w 247650"/>
            <a:gd name="connsiteY2" fmla="*/ 12700 h 76200"/>
            <a:gd name="connsiteX3" fmla="*/ 177800 w 247650"/>
            <a:gd name="connsiteY3" fmla="*/ 6350 h 76200"/>
            <a:gd name="connsiteX4" fmla="*/ 165100 w 247650"/>
            <a:gd name="connsiteY4" fmla="*/ 0 h 76200"/>
            <a:gd name="connsiteX5" fmla="*/ 107950 w 247650"/>
            <a:gd name="connsiteY5" fmla="*/ 3175 h 76200"/>
            <a:gd name="connsiteX6" fmla="*/ 82550 w 247650"/>
            <a:gd name="connsiteY6" fmla="*/ 9525 h 76200"/>
            <a:gd name="connsiteX7" fmla="*/ 69850 w 247650"/>
            <a:gd name="connsiteY7" fmla="*/ 12700 h 76200"/>
            <a:gd name="connsiteX8" fmla="*/ 50800 w 247650"/>
            <a:gd name="connsiteY8" fmla="*/ 25400 h 76200"/>
            <a:gd name="connsiteX9" fmla="*/ 41275 w 247650"/>
            <a:gd name="connsiteY9" fmla="*/ 31750 h 76200"/>
            <a:gd name="connsiteX10" fmla="*/ 22225 w 247650"/>
            <a:gd name="connsiteY10" fmla="*/ 47625 h 76200"/>
            <a:gd name="connsiteX11" fmla="*/ 6350 w 247650"/>
            <a:gd name="connsiteY11" fmla="*/ 66675 h 76200"/>
            <a:gd name="connsiteX12" fmla="*/ 0 w 247650"/>
            <a:gd name="connsiteY12" fmla="*/ 76200 h 762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Lst>
          <a:rect l="l" t="t" r="r" b="b"/>
          <a:pathLst>
            <a:path w="247650" h="76200">
              <a:moveTo>
                <a:pt x="247650" y="22225"/>
              </a:moveTo>
              <a:cubicBezTo>
                <a:pt x="231775" y="20108"/>
                <a:pt x="215845" y="18373"/>
                <a:pt x="200025" y="15875"/>
              </a:cubicBezTo>
              <a:cubicBezTo>
                <a:pt x="195715" y="15194"/>
                <a:pt x="191336" y="14419"/>
                <a:pt x="187325" y="12700"/>
              </a:cubicBezTo>
              <a:cubicBezTo>
                <a:pt x="183818" y="11197"/>
                <a:pt x="181113" y="8243"/>
                <a:pt x="177800" y="6350"/>
              </a:cubicBezTo>
              <a:cubicBezTo>
                <a:pt x="173691" y="4002"/>
                <a:pt x="169333" y="2117"/>
                <a:pt x="165100" y="0"/>
              </a:cubicBezTo>
              <a:cubicBezTo>
                <a:pt x="146050" y="1058"/>
                <a:pt x="126904" y="988"/>
                <a:pt x="107950" y="3175"/>
              </a:cubicBezTo>
              <a:cubicBezTo>
                <a:pt x="99280" y="4175"/>
                <a:pt x="91017" y="7408"/>
                <a:pt x="82550" y="9525"/>
              </a:cubicBezTo>
              <a:lnTo>
                <a:pt x="69850" y="12700"/>
              </a:lnTo>
              <a:lnTo>
                <a:pt x="50800" y="25400"/>
              </a:lnTo>
              <a:cubicBezTo>
                <a:pt x="47625" y="27517"/>
                <a:pt x="43973" y="29052"/>
                <a:pt x="41275" y="31750"/>
              </a:cubicBezTo>
              <a:cubicBezTo>
                <a:pt x="29052" y="43973"/>
                <a:pt x="35486" y="38784"/>
                <a:pt x="22225" y="47625"/>
              </a:cubicBezTo>
              <a:cubicBezTo>
                <a:pt x="6459" y="71274"/>
                <a:pt x="26722" y="42229"/>
                <a:pt x="6350" y="66675"/>
              </a:cubicBezTo>
              <a:cubicBezTo>
                <a:pt x="3907" y="69606"/>
                <a:pt x="0" y="76200"/>
                <a:pt x="0" y="76200"/>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20815</xdr:colOff>
      <xdr:row>350</xdr:row>
      <xdr:rowOff>196252</xdr:rowOff>
    </xdr:from>
    <xdr:to>
      <xdr:col>3</xdr:col>
      <xdr:colOff>738394</xdr:colOff>
      <xdr:row>350</xdr:row>
      <xdr:rowOff>201947</xdr:rowOff>
    </xdr:to>
    <xdr:cxnSp macro="">
      <xdr:nvCxnSpPr>
        <xdr:cNvPr id="21" name="Straight Arrow Connector 20">
          <a:extLst>
            <a:ext uri="{FF2B5EF4-FFF2-40B4-BE49-F238E27FC236}">
              <a16:creationId xmlns:a16="http://schemas.microsoft.com/office/drawing/2014/main" id="{CA6F1982-FC23-884F-BED8-B8DB3111068D}"/>
            </a:ext>
          </a:extLst>
        </xdr:cNvPr>
        <xdr:cNvCxnSpPr/>
      </xdr:nvCxnSpPr>
      <xdr:spPr>
        <a:xfrm flipH="1">
          <a:off x="13521777106" y="11372252"/>
          <a:ext cx="1543079" cy="56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20815</xdr:colOff>
      <xdr:row>355</xdr:row>
      <xdr:rowOff>202602</xdr:rowOff>
    </xdr:from>
    <xdr:to>
      <xdr:col>3</xdr:col>
      <xdr:colOff>738394</xdr:colOff>
      <xdr:row>355</xdr:row>
      <xdr:rowOff>208297</xdr:rowOff>
    </xdr:to>
    <xdr:cxnSp macro="">
      <xdr:nvCxnSpPr>
        <xdr:cNvPr id="23" name="Straight Arrow Connector 22">
          <a:extLst>
            <a:ext uri="{FF2B5EF4-FFF2-40B4-BE49-F238E27FC236}">
              <a16:creationId xmlns:a16="http://schemas.microsoft.com/office/drawing/2014/main" id="{633D58DD-2081-DC48-9C3F-7BA0363F56E1}"/>
            </a:ext>
          </a:extLst>
        </xdr:cNvPr>
        <xdr:cNvCxnSpPr/>
      </xdr:nvCxnSpPr>
      <xdr:spPr>
        <a:xfrm flipH="1">
          <a:off x="13521777106" y="12394602"/>
          <a:ext cx="1543079" cy="56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666750</xdr:colOff>
      <xdr:row>380</xdr:row>
      <xdr:rowOff>190500</xdr:rowOff>
    </xdr:from>
    <xdr:to>
      <xdr:col>6</xdr:col>
      <xdr:colOff>31750</xdr:colOff>
      <xdr:row>382</xdr:row>
      <xdr:rowOff>196850</xdr:rowOff>
    </xdr:to>
    <xdr:sp macro="" textlink="">
      <xdr:nvSpPr>
        <xdr:cNvPr id="30" name="Left Brace 29">
          <a:extLst>
            <a:ext uri="{FF2B5EF4-FFF2-40B4-BE49-F238E27FC236}">
              <a16:creationId xmlns:a16="http://schemas.microsoft.com/office/drawing/2014/main" id="{3B1DC742-A710-E748-9E85-90BBD959E220}"/>
            </a:ext>
          </a:extLst>
        </xdr:cNvPr>
        <xdr:cNvSpPr/>
      </xdr:nvSpPr>
      <xdr:spPr>
        <a:xfrm>
          <a:off x="13520007250" y="17462500"/>
          <a:ext cx="190500" cy="412750"/>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615950</xdr:colOff>
      <xdr:row>380</xdr:row>
      <xdr:rowOff>171450</xdr:rowOff>
    </xdr:from>
    <xdr:to>
      <xdr:col>7</xdr:col>
      <xdr:colOff>12700</xdr:colOff>
      <xdr:row>381</xdr:row>
      <xdr:rowOff>158750</xdr:rowOff>
    </xdr:to>
    <xdr:sp macro="" textlink="">
      <xdr:nvSpPr>
        <xdr:cNvPr id="40" name="Rectangle 39">
          <a:extLst>
            <a:ext uri="{FF2B5EF4-FFF2-40B4-BE49-F238E27FC236}">
              <a16:creationId xmlns:a16="http://schemas.microsoft.com/office/drawing/2014/main" id="{EC24575E-E8C5-B943-B2F1-1E22BB8EF094}"/>
            </a:ext>
          </a:extLst>
        </xdr:cNvPr>
        <xdr:cNvSpPr/>
      </xdr:nvSpPr>
      <xdr:spPr>
        <a:xfrm>
          <a:off x="13519200800" y="17443450"/>
          <a:ext cx="222250" cy="1905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א</a:t>
          </a:r>
          <a:endParaRPr lang="en-US" sz="1100"/>
        </a:p>
      </xdr:txBody>
    </xdr:sp>
    <xdr:clientData/>
  </xdr:twoCellAnchor>
  <xdr:twoCellAnchor>
    <xdr:from>
      <xdr:col>5</xdr:col>
      <xdr:colOff>469900</xdr:colOff>
      <xdr:row>384</xdr:row>
      <xdr:rowOff>57150</xdr:rowOff>
    </xdr:from>
    <xdr:to>
      <xdr:col>5</xdr:col>
      <xdr:colOff>692150</xdr:colOff>
      <xdr:row>385</xdr:row>
      <xdr:rowOff>44450</xdr:rowOff>
    </xdr:to>
    <xdr:sp macro="" textlink="">
      <xdr:nvSpPr>
        <xdr:cNvPr id="43" name="Rectangle 42">
          <a:extLst>
            <a:ext uri="{FF2B5EF4-FFF2-40B4-BE49-F238E27FC236}">
              <a16:creationId xmlns:a16="http://schemas.microsoft.com/office/drawing/2014/main" id="{8CA43557-FC16-2141-BFC4-9BD5964761B6}"/>
            </a:ext>
          </a:extLst>
        </xdr:cNvPr>
        <xdr:cNvSpPr/>
      </xdr:nvSpPr>
      <xdr:spPr>
        <a:xfrm>
          <a:off x="13520172350" y="18141950"/>
          <a:ext cx="222250" cy="1905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ב</a:t>
          </a:r>
          <a:endParaRPr lang="en-US" sz="1100"/>
        </a:p>
      </xdr:txBody>
    </xdr:sp>
    <xdr:clientData/>
  </xdr:twoCellAnchor>
  <xdr:twoCellAnchor>
    <xdr:from>
      <xdr:col>5</xdr:col>
      <xdr:colOff>666750</xdr:colOff>
      <xdr:row>383</xdr:row>
      <xdr:rowOff>19050</xdr:rowOff>
    </xdr:from>
    <xdr:to>
      <xdr:col>6</xdr:col>
      <xdr:colOff>63500</xdr:colOff>
      <xdr:row>383</xdr:row>
      <xdr:rowOff>209550</xdr:rowOff>
    </xdr:to>
    <xdr:sp macro="" textlink="">
      <xdr:nvSpPr>
        <xdr:cNvPr id="44" name="Rectangle 43">
          <a:extLst>
            <a:ext uri="{FF2B5EF4-FFF2-40B4-BE49-F238E27FC236}">
              <a16:creationId xmlns:a16="http://schemas.microsoft.com/office/drawing/2014/main" id="{B74853F2-4C00-2540-976E-D1723B3E93BC}"/>
            </a:ext>
          </a:extLst>
        </xdr:cNvPr>
        <xdr:cNvSpPr/>
      </xdr:nvSpPr>
      <xdr:spPr>
        <a:xfrm>
          <a:off x="13519975500" y="17900650"/>
          <a:ext cx="222250" cy="1778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ג</a:t>
          </a:r>
          <a:endParaRPr lang="en-US" sz="1100"/>
        </a:p>
      </xdr:txBody>
    </xdr:sp>
    <xdr:clientData/>
  </xdr:twoCellAnchor>
  <xdr:twoCellAnchor>
    <xdr:from>
      <xdr:col>2</xdr:col>
      <xdr:colOff>19050</xdr:colOff>
      <xdr:row>396</xdr:row>
      <xdr:rowOff>457200</xdr:rowOff>
    </xdr:from>
    <xdr:to>
      <xdr:col>3</xdr:col>
      <xdr:colOff>800100</xdr:colOff>
      <xdr:row>396</xdr:row>
      <xdr:rowOff>463550</xdr:rowOff>
    </xdr:to>
    <xdr:cxnSp macro="">
      <xdr:nvCxnSpPr>
        <xdr:cNvPr id="45" name="Straight Arrow Connector 44">
          <a:extLst>
            <a:ext uri="{FF2B5EF4-FFF2-40B4-BE49-F238E27FC236}">
              <a16:creationId xmlns:a16="http://schemas.microsoft.com/office/drawing/2014/main" id="{6861F2E6-97F3-A745-AB84-021D6CA0BE42}"/>
            </a:ext>
          </a:extLst>
        </xdr:cNvPr>
        <xdr:cNvCxnSpPr/>
      </xdr:nvCxnSpPr>
      <xdr:spPr>
        <a:xfrm flipH="1">
          <a:off x="13521715400" y="20726400"/>
          <a:ext cx="160655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12700</xdr:colOff>
      <xdr:row>418</xdr:row>
      <xdr:rowOff>152400</xdr:rowOff>
    </xdr:from>
    <xdr:to>
      <xdr:col>3</xdr:col>
      <xdr:colOff>793750</xdr:colOff>
      <xdr:row>418</xdr:row>
      <xdr:rowOff>158750</xdr:rowOff>
    </xdr:to>
    <xdr:cxnSp macro="">
      <xdr:nvCxnSpPr>
        <xdr:cNvPr id="46" name="Straight Arrow Connector 45">
          <a:extLst>
            <a:ext uri="{FF2B5EF4-FFF2-40B4-BE49-F238E27FC236}">
              <a16:creationId xmlns:a16="http://schemas.microsoft.com/office/drawing/2014/main" id="{B270ED02-99EB-EB49-AF2A-C8EC690126C6}"/>
            </a:ext>
          </a:extLst>
        </xdr:cNvPr>
        <xdr:cNvCxnSpPr/>
      </xdr:nvCxnSpPr>
      <xdr:spPr>
        <a:xfrm flipH="1" flipV="1">
          <a:off x="13521721750" y="25552400"/>
          <a:ext cx="1606550"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19050</xdr:colOff>
      <xdr:row>423</xdr:row>
      <xdr:rowOff>152400</xdr:rowOff>
    </xdr:from>
    <xdr:to>
      <xdr:col>3</xdr:col>
      <xdr:colOff>800100</xdr:colOff>
      <xdr:row>423</xdr:row>
      <xdr:rowOff>158750</xdr:rowOff>
    </xdr:to>
    <xdr:cxnSp macro="">
      <xdr:nvCxnSpPr>
        <xdr:cNvPr id="47" name="Straight Arrow Connector 46">
          <a:extLst>
            <a:ext uri="{FF2B5EF4-FFF2-40B4-BE49-F238E27FC236}">
              <a16:creationId xmlns:a16="http://schemas.microsoft.com/office/drawing/2014/main" id="{F7DABC24-B48D-144A-BE83-F759A8EE9627}"/>
            </a:ext>
          </a:extLst>
        </xdr:cNvPr>
        <xdr:cNvCxnSpPr/>
      </xdr:nvCxnSpPr>
      <xdr:spPr>
        <a:xfrm flipH="1" flipV="1">
          <a:off x="13521715400" y="26568400"/>
          <a:ext cx="1606550"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664052</xdr:colOff>
      <xdr:row>392</xdr:row>
      <xdr:rowOff>29052</xdr:rowOff>
    </xdr:from>
    <xdr:to>
      <xdr:col>0</xdr:col>
      <xdr:colOff>809313</xdr:colOff>
      <xdr:row>392</xdr:row>
      <xdr:rowOff>166012</xdr:rowOff>
    </xdr:to>
    <xdr:sp macro="" textlink="">
      <xdr:nvSpPr>
        <xdr:cNvPr id="48" name="Rectangle 47">
          <a:extLst>
            <a:ext uri="{FF2B5EF4-FFF2-40B4-BE49-F238E27FC236}">
              <a16:creationId xmlns:a16="http://schemas.microsoft.com/office/drawing/2014/main" id="{AD97150A-B211-B14E-913F-B8B6E784846E}"/>
            </a:ext>
          </a:extLst>
        </xdr:cNvPr>
        <xdr:cNvSpPr/>
      </xdr:nvSpPr>
      <xdr:spPr>
        <a:xfrm>
          <a:off x="13524182687" y="19739452"/>
          <a:ext cx="145261" cy="13696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1</xdr:col>
      <xdr:colOff>722157</xdr:colOff>
      <xdr:row>393</xdr:row>
      <xdr:rowOff>136961</xdr:rowOff>
    </xdr:from>
    <xdr:to>
      <xdr:col>2</xdr:col>
      <xdr:colOff>41503</xdr:colOff>
      <xdr:row>393</xdr:row>
      <xdr:rowOff>273921</xdr:rowOff>
    </xdr:to>
    <xdr:sp macro="" textlink="">
      <xdr:nvSpPr>
        <xdr:cNvPr id="49" name="Rectangle 48">
          <a:extLst>
            <a:ext uri="{FF2B5EF4-FFF2-40B4-BE49-F238E27FC236}">
              <a16:creationId xmlns:a16="http://schemas.microsoft.com/office/drawing/2014/main" id="{0837B8EF-CBF6-9B41-9F7D-EB0C1D26B297}"/>
            </a:ext>
          </a:extLst>
        </xdr:cNvPr>
        <xdr:cNvSpPr/>
      </xdr:nvSpPr>
      <xdr:spPr>
        <a:xfrm>
          <a:off x="13523299497" y="20050561"/>
          <a:ext cx="144846" cy="6076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2</xdr:col>
      <xdr:colOff>751209</xdr:colOff>
      <xdr:row>394</xdr:row>
      <xdr:rowOff>45654</xdr:rowOff>
    </xdr:from>
    <xdr:to>
      <xdr:col>3</xdr:col>
      <xdr:colOff>70555</xdr:colOff>
      <xdr:row>394</xdr:row>
      <xdr:rowOff>182614</xdr:rowOff>
    </xdr:to>
    <xdr:sp macro="" textlink="">
      <xdr:nvSpPr>
        <xdr:cNvPr id="50" name="Rectangle 49">
          <a:extLst>
            <a:ext uri="{FF2B5EF4-FFF2-40B4-BE49-F238E27FC236}">
              <a16:creationId xmlns:a16="http://schemas.microsoft.com/office/drawing/2014/main" id="{EA410FC8-8899-AE4B-8C6F-882AE94223F5}"/>
            </a:ext>
          </a:extLst>
        </xdr:cNvPr>
        <xdr:cNvSpPr/>
      </xdr:nvSpPr>
      <xdr:spPr>
        <a:xfrm>
          <a:off x="13522444945" y="20162454"/>
          <a:ext cx="144846" cy="13696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1</xdr:col>
      <xdr:colOff>630849</xdr:colOff>
      <xdr:row>396</xdr:row>
      <xdr:rowOff>460687</xdr:rowOff>
    </xdr:from>
    <xdr:to>
      <xdr:col>1</xdr:col>
      <xdr:colOff>776110</xdr:colOff>
      <xdr:row>396</xdr:row>
      <xdr:rowOff>597647</xdr:rowOff>
    </xdr:to>
    <xdr:sp macro="" textlink="">
      <xdr:nvSpPr>
        <xdr:cNvPr id="51" name="Rectangle 50">
          <a:extLst>
            <a:ext uri="{FF2B5EF4-FFF2-40B4-BE49-F238E27FC236}">
              <a16:creationId xmlns:a16="http://schemas.microsoft.com/office/drawing/2014/main" id="{235AECBB-8550-B249-A962-471AA0D00496}"/>
            </a:ext>
          </a:extLst>
        </xdr:cNvPr>
        <xdr:cNvSpPr/>
      </xdr:nvSpPr>
      <xdr:spPr>
        <a:xfrm>
          <a:off x="13523390390" y="20729887"/>
          <a:ext cx="145261" cy="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4</a:t>
          </a:r>
          <a:endParaRPr lang="en-US" sz="1100"/>
        </a:p>
      </xdr:txBody>
    </xdr:sp>
    <xdr:clientData/>
  </xdr:twoCellAnchor>
  <xdr:twoCellAnchor>
    <xdr:from>
      <xdr:col>4</xdr:col>
      <xdr:colOff>693104</xdr:colOff>
      <xdr:row>396</xdr:row>
      <xdr:rowOff>481439</xdr:rowOff>
    </xdr:from>
    <xdr:to>
      <xdr:col>5</xdr:col>
      <xdr:colOff>12450</xdr:colOff>
      <xdr:row>396</xdr:row>
      <xdr:rowOff>618399</xdr:rowOff>
    </xdr:to>
    <xdr:sp macro="" textlink="">
      <xdr:nvSpPr>
        <xdr:cNvPr id="52" name="Rectangle 51">
          <a:extLst>
            <a:ext uri="{FF2B5EF4-FFF2-40B4-BE49-F238E27FC236}">
              <a16:creationId xmlns:a16="http://schemas.microsoft.com/office/drawing/2014/main" id="{A0F2E9FE-17D9-CD46-82C3-C014AFB7BBC7}"/>
            </a:ext>
          </a:extLst>
        </xdr:cNvPr>
        <xdr:cNvSpPr/>
      </xdr:nvSpPr>
      <xdr:spPr>
        <a:xfrm>
          <a:off x="13520852050" y="20725239"/>
          <a:ext cx="144846" cy="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5</a:t>
          </a:r>
          <a:endParaRPr lang="en-US" sz="1100"/>
        </a:p>
      </xdr:txBody>
    </xdr:sp>
    <xdr:clientData/>
  </xdr:twoCellAnchor>
  <xdr:twoCellAnchor>
    <xdr:from>
      <xdr:col>4</xdr:col>
      <xdr:colOff>742908</xdr:colOff>
      <xdr:row>395</xdr:row>
      <xdr:rowOff>45655</xdr:rowOff>
    </xdr:from>
    <xdr:to>
      <xdr:col>5</xdr:col>
      <xdr:colOff>62254</xdr:colOff>
      <xdr:row>395</xdr:row>
      <xdr:rowOff>182615</xdr:rowOff>
    </xdr:to>
    <xdr:sp macro="" textlink="">
      <xdr:nvSpPr>
        <xdr:cNvPr id="53" name="Rectangle 52">
          <a:extLst>
            <a:ext uri="{FF2B5EF4-FFF2-40B4-BE49-F238E27FC236}">
              <a16:creationId xmlns:a16="http://schemas.microsoft.com/office/drawing/2014/main" id="{E0922911-FDF2-3F46-892D-ABE8CE4B73CA}"/>
            </a:ext>
          </a:extLst>
        </xdr:cNvPr>
        <xdr:cNvSpPr/>
      </xdr:nvSpPr>
      <xdr:spPr>
        <a:xfrm>
          <a:off x="13520802246" y="20365655"/>
          <a:ext cx="144846" cy="13696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6</a:t>
          </a:r>
          <a:endParaRPr lang="en-US" sz="1100"/>
        </a:p>
      </xdr:txBody>
    </xdr:sp>
    <xdr:clientData/>
  </xdr:twoCellAnchor>
  <xdr:oneCellAnchor>
    <xdr:from>
      <xdr:col>2</xdr:col>
      <xdr:colOff>160422</xdr:colOff>
      <xdr:row>350</xdr:row>
      <xdr:rowOff>669</xdr:rowOff>
    </xdr:from>
    <xdr:ext cx="1345984" cy="172227"/>
    <mc:AlternateContent xmlns:mc="http://schemas.openxmlformats.org/markup-compatibility/2006" xmlns:a14="http://schemas.microsoft.com/office/drawing/2010/main">
      <mc:Choice Requires="a14">
        <xdr:sp macro="" textlink="">
          <xdr:nvSpPr>
            <xdr:cNvPr id="54" name="TextBox 53">
              <a:extLst>
                <a:ext uri="{FF2B5EF4-FFF2-40B4-BE49-F238E27FC236}">
                  <a16:creationId xmlns:a16="http://schemas.microsoft.com/office/drawing/2014/main" id="{8C316862-2FBE-C84E-A4BA-607C5A350EA9}"/>
                </a:ext>
              </a:extLst>
            </xdr:cNvPr>
            <xdr:cNvSpPr txBox="1"/>
          </xdr:nvSpPr>
          <xdr:spPr>
            <a:xfrm>
              <a:off x="13521834594" y="11176669"/>
              <a:ext cx="1345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54" name="TextBox 53">
              <a:extLst>
                <a:ext uri="{FF2B5EF4-FFF2-40B4-BE49-F238E27FC236}">
                  <a16:creationId xmlns:a16="http://schemas.microsoft.com/office/drawing/2014/main" id="{8C316862-2FBE-C84E-A4BA-607C5A350EA9}"/>
                </a:ext>
              </a:extLst>
            </xdr:cNvPr>
            <xdr:cNvSpPr txBox="1"/>
          </xdr:nvSpPr>
          <xdr:spPr>
            <a:xfrm>
              <a:off x="13521834594" y="11176669"/>
              <a:ext cx="1345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2</xdr:col>
      <xdr:colOff>147054</xdr:colOff>
      <xdr:row>355</xdr:row>
      <xdr:rowOff>37433</xdr:rowOff>
    </xdr:from>
    <xdr:ext cx="1345984" cy="172227"/>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E704E6AF-844A-7843-8FC2-98CFD64D49EE}"/>
                </a:ext>
              </a:extLst>
            </xdr:cNvPr>
            <xdr:cNvSpPr txBox="1"/>
          </xdr:nvSpPr>
          <xdr:spPr>
            <a:xfrm>
              <a:off x="13521847962" y="12229433"/>
              <a:ext cx="1345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55" name="TextBox 54">
              <a:extLst>
                <a:ext uri="{FF2B5EF4-FFF2-40B4-BE49-F238E27FC236}">
                  <a16:creationId xmlns:a16="http://schemas.microsoft.com/office/drawing/2014/main" id="{E704E6AF-844A-7843-8FC2-98CFD64D49EE}"/>
                </a:ext>
              </a:extLst>
            </xdr:cNvPr>
            <xdr:cNvSpPr txBox="1"/>
          </xdr:nvSpPr>
          <xdr:spPr>
            <a:xfrm>
              <a:off x="13521847962" y="12229433"/>
              <a:ext cx="1345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2</xdr:col>
      <xdr:colOff>330315</xdr:colOff>
      <xdr:row>417</xdr:row>
      <xdr:rowOff>200580</xdr:rowOff>
    </xdr:from>
    <xdr:ext cx="950027" cy="172227"/>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37A2828B-443A-F54A-B942-759B7F91B160}"/>
                </a:ext>
              </a:extLst>
            </xdr:cNvPr>
            <xdr:cNvSpPr txBox="1"/>
          </xdr:nvSpPr>
          <xdr:spPr>
            <a:xfrm>
              <a:off x="13522060658" y="25397380"/>
              <a:ext cx="9500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m:t>
                    </m:r>
                  </m:oMath>
                </m:oMathPara>
              </a14:m>
              <a:endParaRPr lang="en-US" sz="1100"/>
            </a:p>
          </xdr:txBody>
        </xdr:sp>
      </mc:Choice>
      <mc:Fallback xmlns="">
        <xdr:sp macro="" textlink="">
          <xdr:nvSpPr>
            <xdr:cNvPr id="56" name="TextBox 55">
              <a:extLst>
                <a:ext uri="{FF2B5EF4-FFF2-40B4-BE49-F238E27FC236}">
                  <a16:creationId xmlns:a16="http://schemas.microsoft.com/office/drawing/2014/main" id="{37A2828B-443A-F54A-B942-759B7F91B160}"/>
                </a:ext>
              </a:extLst>
            </xdr:cNvPr>
            <xdr:cNvSpPr txBox="1"/>
          </xdr:nvSpPr>
          <xdr:spPr>
            <a:xfrm>
              <a:off x="13522060658" y="25397380"/>
              <a:ext cx="9500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a:t>
              </a:r>
              <a:endParaRPr lang="en-US" sz="1100"/>
            </a:p>
          </xdr:txBody>
        </xdr:sp>
      </mc:Fallback>
    </mc:AlternateContent>
    <xdr:clientData/>
  </xdr:oneCellAnchor>
  <xdr:oneCellAnchor>
    <xdr:from>
      <xdr:col>2</xdr:col>
      <xdr:colOff>273364</xdr:colOff>
      <xdr:row>423</xdr:row>
      <xdr:rowOff>1252</xdr:rowOff>
    </xdr:from>
    <xdr:ext cx="950027" cy="172227"/>
    <mc:AlternateContent xmlns:mc="http://schemas.openxmlformats.org/markup-compatibility/2006" xmlns:a14="http://schemas.microsoft.com/office/drawing/2010/main">
      <mc:Choice Requires="a14">
        <xdr:sp macro="" textlink="">
          <xdr:nvSpPr>
            <xdr:cNvPr id="57" name="TextBox 56">
              <a:extLst>
                <a:ext uri="{FF2B5EF4-FFF2-40B4-BE49-F238E27FC236}">
                  <a16:creationId xmlns:a16="http://schemas.microsoft.com/office/drawing/2014/main" id="{65F56641-F742-D843-BB00-6B98F912608E}"/>
                </a:ext>
              </a:extLst>
            </xdr:cNvPr>
            <xdr:cNvSpPr txBox="1"/>
          </xdr:nvSpPr>
          <xdr:spPr>
            <a:xfrm>
              <a:off x="13522117609" y="26417252"/>
              <a:ext cx="9500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15%</m:t>
                    </m:r>
                  </m:oMath>
                </m:oMathPara>
              </a14:m>
              <a:endParaRPr lang="en-US" sz="1100"/>
            </a:p>
          </xdr:txBody>
        </xdr:sp>
      </mc:Choice>
      <mc:Fallback xmlns="">
        <xdr:sp macro="" textlink="">
          <xdr:nvSpPr>
            <xdr:cNvPr id="57" name="TextBox 56">
              <a:extLst>
                <a:ext uri="{FF2B5EF4-FFF2-40B4-BE49-F238E27FC236}">
                  <a16:creationId xmlns:a16="http://schemas.microsoft.com/office/drawing/2014/main" id="{65F56641-F742-D843-BB00-6B98F912608E}"/>
                </a:ext>
              </a:extLst>
            </xdr:cNvPr>
            <xdr:cNvSpPr txBox="1"/>
          </xdr:nvSpPr>
          <xdr:spPr>
            <a:xfrm>
              <a:off x="13522117609" y="26417252"/>
              <a:ext cx="9500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15%</a:t>
              </a:r>
              <a:endParaRPr lang="en-US" sz="1100"/>
            </a:p>
          </xdr:txBody>
        </xdr:sp>
      </mc:Fallback>
    </mc:AlternateContent>
    <xdr:clientData/>
  </xdr:oneCellAnchor>
  <xdr:twoCellAnchor editAs="oneCell">
    <xdr:from>
      <xdr:col>7</xdr:col>
      <xdr:colOff>463889</xdr:colOff>
      <xdr:row>345</xdr:row>
      <xdr:rowOff>47442</xdr:rowOff>
    </xdr:from>
    <xdr:to>
      <xdr:col>8</xdr:col>
      <xdr:colOff>492238</xdr:colOff>
      <xdr:row>349</xdr:row>
      <xdr:rowOff>109483</xdr:rowOff>
    </xdr:to>
    <xdr:pic>
      <xdr:nvPicPr>
        <xdr:cNvPr id="58" name="Picture 57">
          <a:extLst>
            <a:ext uri="{FF2B5EF4-FFF2-40B4-BE49-F238E27FC236}">
              <a16:creationId xmlns:a16="http://schemas.microsoft.com/office/drawing/2014/main" id="{5853F33A-3422-435E-9C25-1E405830FB11}"/>
            </a:ext>
          </a:extLst>
        </xdr:cNvPr>
        <xdr:cNvPicPr>
          <a:picLocks noChangeAspect="1"/>
        </xdr:cNvPicPr>
      </xdr:nvPicPr>
      <xdr:blipFill>
        <a:blip xmlns:r="http://schemas.openxmlformats.org/officeDocument/2006/relationships" r:embed="rId3"/>
        <a:stretch>
          <a:fillRect/>
        </a:stretch>
      </xdr:blipFill>
      <xdr:spPr>
        <a:xfrm>
          <a:off x="13505943165" y="78977212"/>
          <a:ext cx="853119" cy="901409"/>
        </a:xfrm>
        <a:prstGeom prst="rect">
          <a:avLst/>
        </a:prstGeom>
      </xdr:spPr>
    </xdr:pic>
    <xdr:clientData/>
  </xdr:twoCellAnchor>
  <xdr:twoCellAnchor>
    <xdr:from>
      <xdr:col>7</xdr:col>
      <xdr:colOff>224509</xdr:colOff>
      <xdr:row>345</xdr:row>
      <xdr:rowOff>80287</xdr:rowOff>
    </xdr:from>
    <xdr:to>
      <xdr:col>8</xdr:col>
      <xdr:colOff>463478</xdr:colOff>
      <xdr:row>350</xdr:row>
      <xdr:rowOff>81452</xdr:rowOff>
    </xdr:to>
    <xdr:sp macro="" textlink="">
      <xdr:nvSpPr>
        <xdr:cNvPr id="59" name="Freeform 58">
          <a:extLst>
            <a:ext uri="{FF2B5EF4-FFF2-40B4-BE49-F238E27FC236}">
              <a16:creationId xmlns:a16="http://schemas.microsoft.com/office/drawing/2014/main" id="{EDE9E9DE-0EC0-AF2B-04F0-51A53C29B7B5}"/>
            </a:ext>
          </a:extLst>
        </xdr:cNvPr>
        <xdr:cNvSpPr/>
      </xdr:nvSpPr>
      <xdr:spPr>
        <a:xfrm>
          <a:off x="13505971925" y="79010057"/>
          <a:ext cx="1063739" cy="1055849"/>
        </a:xfrm>
        <a:custGeom>
          <a:avLst/>
          <a:gdLst>
            <a:gd name="connsiteX0" fmla="*/ 481724 w 1063739"/>
            <a:gd name="connsiteY0" fmla="*/ 7299 h 1055849"/>
            <a:gd name="connsiteX1" fmla="*/ 499972 w 1063739"/>
            <a:gd name="connsiteY1" fmla="*/ 14598 h 1055849"/>
            <a:gd name="connsiteX2" fmla="*/ 554713 w 1063739"/>
            <a:gd name="connsiteY2" fmla="*/ 29196 h 1055849"/>
            <a:gd name="connsiteX3" fmla="*/ 580259 w 1063739"/>
            <a:gd name="connsiteY3" fmla="*/ 36495 h 1055849"/>
            <a:gd name="connsiteX4" fmla="*/ 616753 w 1063739"/>
            <a:gd name="connsiteY4" fmla="*/ 62041 h 1055849"/>
            <a:gd name="connsiteX5" fmla="*/ 653247 w 1063739"/>
            <a:gd name="connsiteY5" fmla="*/ 83937 h 1055849"/>
            <a:gd name="connsiteX6" fmla="*/ 671495 w 1063739"/>
            <a:gd name="connsiteY6" fmla="*/ 94886 h 1055849"/>
            <a:gd name="connsiteX7" fmla="*/ 697041 w 1063739"/>
            <a:gd name="connsiteY7" fmla="*/ 116782 h 1055849"/>
            <a:gd name="connsiteX8" fmla="*/ 726236 w 1063739"/>
            <a:gd name="connsiteY8" fmla="*/ 149627 h 1055849"/>
            <a:gd name="connsiteX9" fmla="*/ 737184 w 1063739"/>
            <a:gd name="connsiteY9" fmla="*/ 160575 h 1055849"/>
            <a:gd name="connsiteX10" fmla="*/ 762730 w 1063739"/>
            <a:gd name="connsiteY10" fmla="*/ 193420 h 1055849"/>
            <a:gd name="connsiteX11" fmla="*/ 770029 w 1063739"/>
            <a:gd name="connsiteY11" fmla="*/ 204368 h 1055849"/>
            <a:gd name="connsiteX12" fmla="*/ 791926 w 1063739"/>
            <a:gd name="connsiteY12" fmla="*/ 240863 h 1055849"/>
            <a:gd name="connsiteX13" fmla="*/ 802874 w 1063739"/>
            <a:gd name="connsiteY13" fmla="*/ 259110 h 1055849"/>
            <a:gd name="connsiteX14" fmla="*/ 824770 w 1063739"/>
            <a:gd name="connsiteY14" fmla="*/ 291954 h 1055849"/>
            <a:gd name="connsiteX15" fmla="*/ 832069 w 1063739"/>
            <a:gd name="connsiteY15" fmla="*/ 310202 h 1055849"/>
            <a:gd name="connsiteX16" fmla="*/ 839368 w 1063739"/>
            <a:gd name="connsiteY16" fmla="*/ 324799 h 1055849"/>
            <a:gd name="connsiteX17" fmla="*/ 846667 w 1063739"/>
            <a:gd name="connsiteY17" fmla="*/ 343046 h 1055849"/>
            <a:gd name="connsiteX18" fmla="*/ 857615 w 1063739"/>
            <a:gd name="connsiteY18" fmla="*/ 361294 h 1055849"/>
            <a:gd name="connsiteX19" fmla="*/ 864914 w 1063739"/>
            <a:gd name="connsiteY19" fmla="*/ 375891 h 1055849"/>
            <a:gd name="connsiteX20" fmla="*/ 872213 w 1063739"/>
            <a:gd name="connsiteY20" fmla="*/ 408736 h 1055849"/>
            <a:gd name="connsiteX21" fmla="*/ 875862 w 1063739"/>
            <a:gd name="connsiteY21" fmla="*/ 426983 h 1055849"/>
            <a:gd name="connsiteX22" fmla="*/ 883161 w 1063739"/>
            <a:gd name="connsiteY22" fmla="*/ 445230 h 1055849"/>
            <a:gd name="connsiteX23" fmla="*/ 886811 w 1063739"/>
            <a:gd name="connsiteY23" fmla="*/ 467127 h 1055849"/>
            <a:gd name="connsiteX24" fmla="*/ 901408 w 1063739"/>
            <a:gd name="connsiteY24" fmla="*/ 525518 h 1055849"/>
            <a:gd name="connsiteX25" fmla="*/ 912357 w 1063739"/>
            <a:gd name="connsiteY25" fmla="*/ 572960 h 1055849"/>
            <a:gd name="connsiteX26" fmla="*/ 916006 w 1063739"/>
            <a:gd name="connsiteY26" fmla="*/ 594857 h 1055849"/>
            <a:gd name="connsiteX27" fmla="*/ 930604 w 1063739"/>
            <a:gd name="connsiteY27" fmla="*/ 656897 h 1055849"/>
            <a:gd name="connsiteX28" fmla="*/ 934253 w 1063739"/>
            <a:gd name="connsiteY28" fmla="*/ 682443 h 1055849"/>
            <a:gd name="connsiteX29" fmla="*/ 937903 w 1063739"/>
            <a:gd name="connsiteY29" fmla="*/ 729886 h 1055849"/>
            <a:gd name="connsiteX30" fmla="*/ 941552 w 1063739"/>
            <a:gd name="connsiteY30" fmla="*/ 744483 h 1055849"/>
            <a:gd name="connsiteX31" fmla="*/ 948851 w 1063739"/>
            <a:gd name="connsiteY31" fmla="*/ 810173 h 1055849"/>
            <a:gd name="connsiteX32" fmla="*/ 945201 w 1063739"/>
            <a:gd name="connsiteY32" fmla="*/ 780977 h 1055849"/>
            <a:gd name="connsiteX33" fmla="*/ 937903 w 1063739"/>
            <a:gd name="connsiteY33" fmla="*/ 770029 h 1055849"/>
            <a:gd name="connsiteX34" fmla="*/ 923305 w 1063739"/>
            <a:gd name="connsiteY34" fmla="*/ 737184 h 1055849"/>
            <a:gd name="connsiteX35" fmla="*/ 912357 w 1063739"/>
            <a:gd name="connsiteY35" fmla="*/ 704340 h 1055849"/>
            <a:gd name="connsiteX36" fmla="*/ 897759 w 1063739"/>
            <a:gd name="connsiteY36" fmla="*/ 642299 h 1055849"/>
            <a:gd name="connsiteX37" fmla="*/ 886811 w 1063739"/>
            <a:gd name="connsiteY37" fmla="*/ 609454 h 1055849"/>
            <a:gd name="connsiteX38" fmla="*/ 850316 w 1063739"/>
            <a:gd name="connsiteY38" fmla="*/ 525518 h 1055849"/>
            <a:gd name="connsiteX39" fmla="*/ 806523 w 1063739"/>
            <a:gd name="connsiteY39" fmla="*/ 405087 h 1055849"/>
            <a:gd name="connsiteX40" fmla="*/ 799224 w 1063739"/>
            <a:gd name="connsiteY40" fmla="*/ 386840 h 1055849"/>
            <a:gd name="connsiteX41" fmla="*/ 780977 w 1063739"/>
            <a:gd name="connsiteY41" fmla="*/ 357644 h 1055849"/>
            <a:gd name="connsiteX42" fmla="*/ 773678 w 1063739"/>
            <a:gd name="connsiteY42" fmla="*/ 339397 h 1055849"/>
            <a:gd name="connsiteX43" fmla="*/ 759081 w 1063739"/>
            <a:gd name="connsiteY43" fmla="*/ 317500 h 1055849"/>
            <a:gd name="connsiteX44" fmla="*/ 729885 w 1063739"/>
            <a:gd name="connsiteY44" fmla="*/ 262759 h 1055849"/>
            <a:gd name="connsiteX45" fmla="*/ 715288 w 1063739"/>
            <a:gd name="connsiteY45" fmla="*/ 237213 h 1055849"/>
            <a:gd name="connsiteX46" fmla="*/ 700690 w 1063739"/>
            <a:gd name="connsiteY46" fmla="*/ 200719 h 1055849"/>
            <a:gd name="connsiteX47" fmla="*/ 664196 w 1063739"/>
            <a:gd name="connsiteY47" fmla="*/ 138679 h 1055849"/>
            <a:gd name="connsiteX48" fmla="*/ 642299 w 1063739"/>
            <a:gd name="connsiteY48" fmla="*/ 102184 h 1055849"/>
            <a:gd name="connsiteX49" fmla="*/ 631351 w 1063739"/>
            <a:gd name="connsiteY49" fmla="*/ 94886 h 1055849"/>
            <a:gd name="connsiteX50" fmla="*/ 583908 w 1063739"/>
            <a:gd name="connsiteY50" fmla="*/ 91236 h 1055849"/>
            <a:gd name="connsiteX51" fmla="*/ 554713 w 1063739"/>
            <a:gd name="connsiteY51" fmla="*/ 76638 h 1055849"/>
            <a:gd name="connsiteX52" fmla="*/ 532816 w 1063739"/>
            <a:gd name="connsiteY52" fmla="*/ 62041 h 1055849"/>
            <a:gd name="connsiteX53" fmla="*/ 521868 w 1063739"/>
            <a:gd name="connsiteY53" fmla="*/ 54742 h 1055849"/>
            <a:gd name="connsiteX54" fmla="*/ 507270 w 1063739"/>
            <a:gd name="connsiteY54" fmla="*/ 47443 h 1055849"/>
            <a:gd name="connsiteX55" fmla="*/ 499972 w 1063739"/>
            <a:gd name="connsiteY55" fmla="*/ 36495 h 1055849"/>
            <a:gd name="connsiteX56" fmla="*/ 510920 w 1063739"/>
            <a:gd name="connsiteY56" fmla="*/ 29196 h 1055849"/>
            <a:gd name="connsiteX57" fmla="*/ 540115 w 1063739"/>
            <a:gd name="connsiteY57" fmla="*/ 40144 h 1055849"/>
            <a:gd name="connsiteX58" fmla="*/ 565661 w 1063739"/>
            <a:gd name="connsiteY58" fmla="*/ 62041 h 1055849"/>
            <a:gd name="connsiteX59" fmla="*/ 580259 w 1063739"/>
            <a:gd name="connsiteY59" fmla="*/ 72989 h 1055849"/>
            <a:gd name="connsiteX60" fmla="*/ 642299 w 1063739"/>
            <a:gd name="connsiteY60" fmla="*/ 120432 h 1055849"/>
            <a:gd name="connsiteX61" fmla="*/ 675144 w 1063739"/>
            <a:gd name="connsiteY61" fmla="*/ 156926 h 1055849"/>
            <a:gd name="connsiteX62" fmla="*/ 689742 w 1063739"/>
            <a:gd name="connsiteY62" fmla="*/ 175173 h 1055849"/>
            <a:gd name="connsiteX63" fmla="*/ 711638 w 1063739"/>
            <a:gd name="connsiteY63" fmla="*/ 197069 h 1055849"/>
            <a:gd name="connsiteX64" fmla="*/ 729885 w 1063739"/>
            <a:gd name="connsiteY64" fmla="*/ 222615 h 1055849"/>
            <a:gd name="connsiteX65" fmla="*/ 748132 w 1063739"/>
            <a:gd name="connsiteY65" fmla="*/ 244512 h 1055849"/>
            <a:gd name="connsiteX66" fmla="*/ 762730 w 1063739"/>
            <a:gd name="connsiteY66" fmla="*/ 270058 h 1055849"/>
            <a:gd name="connsiteX67" fmla="*/ 784627 w 1063739"/>
            <a:gd name="connsiteY67" fmla="*/ 306552 h 1055849"/>
            <a:gd name="connsiteX68" fmla="*/ 799224 w 1063739"/>
            <a:gd name="connsiteY68" fmla="*/ 350345 h 1055849"/>
            <a:gd name="connsiteX69" fmla="*/ 806523 w 1063739"/>
            <a:gd name="connsiteY69" fmla="*/ 372242 h 1055849"/>
            <a:gd name="connsiteX70" fmla="*/ 813822 w 1063739"/>
            <a:gd name="connsiteY70" fmla="*/ 401437 h 1055849"/>
            <a:gd name="connsiteX71" fmla="*/ 835719 w 1063739"/>
            <a:gd name="connsiteY71" fmla="*/ 467127 h 1055849"/>
            <a:gd name="connsiteX72" fmla="*/ 853966 w 1063739"/>
            <a:gd name="connsiteY72" fmla="*/ 536466 h 1055849"/>
            <a:gd name="connsiteX73" fmla="*/ 868564 w 1063739"/>
            <a:gd name="connsiteY73" fmla="*/ 605805 h 1055849"/>
            <a:gd name="connsiteX74" fmla="*/ 879512 w 1063739"/>
            <a:gd name="connsiteY74" fmla="*/ 653248 h 1055849"/>
            <a:gd name="connsiteX75" fmla="*/ 894109 w 1063739"/>
            <a:gd name="connsiteY75" fmla="*/ 748133 h 1055849"/>
            <a:gd name="connsiteX76" fmla="*/ 905058 w 1063739"/>
            <a:gd name="connsiteY76" fmla="*/ 806523 h 1055849"/>
            <a:gd name="connsiteX77" fmla="*/ 919655 w 1063739"/>
            <a:gd name="connsiteY77" fmla="*/ 908707 h 1055849"/>
            <a:gd name="connsiteX78" fmla="*/ 926954 w 1063739"/>
            <a:gd name="connsiteY78" fmla="*/ 945202 h 1055849"/>
            <a:gd name="connsiteX79" fmla="*/ 912357 w 1063739"/>
            <a:gd name="connsiteY79" fmla="*/ 923305 h 1055849"/>
            <a:gd name="connsiteX80" fmla="*/ 897759 w 1063739"/>
            <a:gd name="connsiteY80" fmla="*/ 883161 h 1055849"/>
            <a:gd name="connsiteX81" fmla="*/ 850316 w 1063739"/>
            <a:gd name="connsiteY81" fmla="*/ 766380 h 1055849"/>
            <a:gd name="connsiteX82" fmla="*/ 810173 w 1063739"/>
            <a:gd name="connsiteY82" fmla="*/ 656897 h 1055849"/>
            <a:gd name="connsiteX83" fmla="*/ 795575 w 1063739"/>
            <a:gd name="connsiteY83" fmla="*/ 605805 h 1055849"/>
            <a:gd name="connsiteX84" fmla="*/ 773678 w 1063739"/>
            <a:gd name="connsiteY84" fmla="*/ 518219 h 1055849"/>
            <a:gd name="connsiteX85" fmla="*/ 766380 w 1063739"/>
            <a:gd name="connsiteY85" fmla="*/ 485374 h 1055849"/>
            <a:gd name="connsiteX86" fmla="*/ 715288 w 1063739"/>
            <a:gd name="connsiteY86" fmla="*/ 368592 h 1055849"/>
            <a:gd name="connsiteX87" fmla="*/ 700690 w 1063739"/>
            <a:gd name="connsiteY87" fmla="*/ 335748 h 1055849"/>
            <a:gd name="connsiteX88" fmla="*/ 678793 w 1063739"/>
            <a:gd name="connsiteY88" fmla="*/ 310202 h 1055849"/>
            <a:gd name="connsiteX89" fmla="*/ 660546 w 1063739"/>
            <a:gd name="connsiteY89" fmla="*/ 284656 h 1055849"/>
            <a:gd name="connsiteX90" fmla="*/ 627701 w 1063739"/>
            <a:gd name="connsiteY90" fmla="*/ 244512 h 1055849"/>
            <a:gd name="connsiteX91" fmla="*/ 613104 w 1063739"/>
            <a:gd name="connsiteY91" fmla="*/ 218966 h 1055849"/>
            <a:gd name="connsiteX92" fmla="*/ 587558 w 1063739"/>
            <a:gd name="connsiteY92" fmla="*/ 193420 h 1055849"/>
            <a:gd name="connsiteX93" fmla="*/ 576609 w 1063739"/>
            <a:gd name="connsiteY93" fmla="*/ 182472 h 1055849"/>
            <a:gd name="connsiteX94" fmla="*/ 554713 w 1063739"/>
            <a:gd name="connsiteY94" fmla="*/ 142328 h 1055849"/>
            <a:gd name="connsiteX95" fmla="*/ 536466 w 1063739"/>
            <a:gd name="connsiteY95" fmla="*/ 105834 h 1055849"/>
            <a:gd name="connsiteX96" fmla="*/ 529167 w 1063739"/>
            <a:gd name="connsiteY96" fmla="*/ 83937 h 1055849"/>
            <a:gd name="connsiteX97" fmla="*/ 521868 w 1063739"/>
            <a:gd name="connsiteY97" fmla="*/ 65690 h 1055849"/>
            <a:gd name="connsiteX98" fmla="*/ 514569 w 1063739"/>
            <a:gd name="connsiteY98" fmla="*/ 40144 h 1055849"/>
            <a:gd name="connsiteX99" fmla="*/ 503621 w 1063739"/>
            <a:gd name="connsiteY99" fmla="*/ 29196 h 1055849"/>
            <a:gd name="connsiteX100" fmla="*/ 481724 w 1063739"/>
            <a:gd name="connsiteY100" fmla="*/ 14598 h 1055849"/>
            <a:gd name="connsiteX101" fmla="*/ 470776 w 1063739"/>
            <a:gd name="connsiteY101" fmla="*/ 7299 h 1055849"/>
            <a:gd name="connsiteX102" fmla="*/ 492673 w 1063739"/>
            <a:gd name="connsiteY102" fmla="*/ 18248 h 1055849"/>
            <a:gd name="connsiteX103" fmla="*/ 529167 w 1063739"/>
            <a:gd name="connsiteY103" fmla="*/ 62041 h 1055849"/>
            <a:gd name="connsiteX104" fmla="*/ 543765 w 1063739"/>
            <a:gd name="connsiteY104" fmla="*/ 80288 h 1055849"/>
            <a:gd name="connsiteX105" fmla="*/ 562012 w 1063739"/>
            <a:gd name="connsiteY105" fmla="*/ 98535 h 1055849"/>
            <a:gd name="connsiteX106" fmla="*/ 605805 w 1063739"/>
            <a:gd name="connsiteY106" fmla="*/ 149627 h 1055849"/>
            <a:gd name="connsiteX107" fmla="*/ 664196 w 1063739"/>
            <a:gd name="connsiteY107" fmla="*/ 222615 h 1055849"/>
            <a:gd name="connsiteX108" fmla="*/ 729885 w 1063739"/>
            <a:gd name="connsiteY108" fmla="*/ 332098 h 1055849"/>
            <a:gd name="connsiteX109" fmla="*/ 762730 w 1063739"/>
            <a:gd name="connsiteY109" fmla="*/ 386840 h 1055849"/>
            <a:gd name="connsiteX110" fmla="*/ 810173 w 1063739"/>
            <a:gd name="connsiteY110" fmla="*/ 499972 h 1055849"/>
            <a:gd name="connsiteX111" fmla="*/ 857615 w 1063739"/>
            <a:gd name="connsiteY111" fmla="*/ 624052 h 1055849"/>
            <a:gd name="connsiteX112" fmla="*/ 883161 w 1063739"/>
            <a:gd name="connsiteY112" fmla="*/ 740834 h 1055849"/>
            <a:gd name="connsiteX113" fmla="*/ 890460 w 1063739"/>
            <a:gd name="connsiteY113" fmla="*/ 795575 h 1055849"/>
            <a:gd name="connsiteX114" fmla="*/ 883161 w 1063739"/>
            <a:gd name="connsiteY114" fmla="*/ 926954 h 1055849"/>
            <a:gd name="connsiteX115" fmla="*/ 875862 w 1063739"/>
            <a:gd name="connsiteY115" fmla="*/ 952500 h 1055849"/>
            <a:gd name="connsiteX116" fmla="*/ 872213 w 1063739"/>
            <a:gd name="connsiteY116" fmla="*/ 967098 h 1055849"/>
            <a:gd name="connsiteX117" fmla="*/ 857615 w 1063739"/>
            <a:gd name="connsiteY117" fmla="*/ 901409 h 1055849"/>
            <a:gd name="connsiteX118" fmla="*/ 824770 w 1063739"/>
            <a:gd name="connsiteY118" fmla="*/ 799225 h 1055849"/>
            <a:gd name="connsiteX119" fmla="*/ 777328 w 1063739"/>
            <a:gd name="connsiteY119" fmla="*/ 664196 h 1055849"/>
            <a:gd name="connsiteX120" fmla="*/ 740834 w 1063739"/>
            <a:gd name="connsiteY120" fmla="*/ 514569 h 1055849"/>
            <a:gd name="connsiteX121" fmla="*/ 726236 w 1063739"/>
            <a:gd name="connsiteY121" fmla="*/ 452529 h 1055849"/>
            <a:gd name="connsiteX122" fmla="*/ 704339 w 1063739"/>
            <a:gd name="connsiteY122" fmla="*/ 379541 h 1055849"/>
            <a:gd name="connsiteX123" fmla="*/ 682443 w 1063739"/>
            <a:gd name="connsiteY123" fmla="*/ 343046 h 1055849"/>
            <a:gd name="connsiteX124" fmla="*/ 667845 w 1063739"/>
            <a:gd name="connsiteY124" fmla="*/ 328449 h 1055849"/>
            <a:gd name="connsiteX125" fmla="*/ 656897 w 1063739"/>
            <a:gd name="connsiteY125" fmla="*/ 310202 h 1055849"/>
            <a:gd name="connsiteX126" fmla="*/ 627701 w 1063739"/>
            <a:gd name="connsiteY126" fmla="*/ 266409 h 1055849"/>
            <a:gd name="connsiteX127" fmla="*/ 598506 w 1063739"/>
            <a:gd name="connsiteY127" fmla="*/ 222615 h 1055849"/>
            <a:gd name="connsiteX128" fmla="*/ 583908 w 1063739"/>
            <a:gd name="connsiteY128" fmla="*/ 208018 h 1055849"/>
            <a:gd name="connsiteX129" fmla="*/ 551064 w 1063739"/>
            <a:gd name="connsiteY129" fmla="*/ 167874 h 1055849"/>
            <a:gd name="connsiteX130" fmla="*/ 547414 w 1063739"/>
            <a:gd name="connsiteY130" fmla="*/ 156926 h 1055849"/>
            <a:gd name="connsiteX131" fmla="*/ 525518 w 1063739"/>
            <a:gd name="connsiteY131" fmla="*/ 131380 h 1055849"/>
            <a:gd name="connsiteX132" fmla="*/ 507270 w 1063739"/>
            <a:gd name="connsiteY132" fmla="*/ 116782 h 1055849"/>
            <a:gd name="connsiteX133" fmla="*/ 499972 w 1063739"/>
            <a:gd name="connsiteY133" fmla="*/ 105834 h 1055849"/>
            <a:gd name="connsiteX134" fmla="*/ 489023 w 1063739"/>
            <a:gd name="connsiteY134" fmla="*/ 91236 h 1055849"/>
            <a:gd name="connsiteX135" fmla="*/ 478075 w 1063739"/>
            <a:gd name="connsiteY135" fmla="*/ 83937 h 1055849"/>
            <a:gd name="connsiteX136" fmla="*/ 470776 w 1063739"/>
            <a:gd name="connsiteY136" fmla="*/ 72989 h 1055849"/>
            <a:gd name="connsiteX137" fmla="*/ 481724 w 1063739"/>
            <a:gd name="connsiteY137" fmla="*/ 76638 h 1055849"/>
            <a:gd name="connsiteX138" fmla="*/ 492673 w 1063739"/>
            <a:gd name="connsiteY138" fmla="*/ 83937 h 1055849"/>
            <a:gd name="connsiteX139" fmla="*/ 507270 w 1063739"/>
            <a:gd name="connsiteY139" fmla="*/ 105834 h 1055849"/>
            <a:gd name="connsiteX140" fmla="*/ 521868 w 1063739"/>
            <a:gd name="connsiteY140" fmla="*/ 135029 h 1055849"/>
            <a:gd name="connsiteX141" fmla="*/ 532816 w 1063739"/>
            <a:gd name="connsiteY141" fmla="*/ 149627 h 1055849"/>
            <a:gd name="connsiteX142" fmla="*/ 572960 w 1063739"/>
            <a:gd name="connsiteY142" fmla="*/ 197069 h 1055849"/>
            <a:gd name="connsiteX143" fmla="*/ 616753 w 1063739"/>
            <a:gd name="connsiteY143" fmla="*/ 270058 h 1055849"/>
            <a:gd name="connsiteX144" fmla="*/ 682443 w 1063739"/>
            <a:gd name="connsiteY144" fmla="*/ 383190 h 1055849"/>
            <a:gd name="connsiteX145" fmla="*/ 707989 w 1063739"/>
            <a:gd name="connsiteY145" fmla="*/ 430633 h 1055849"/>
            <a:gd name="connsiteX146" fmla="*/ 726236 w 1063739"/>
            <a:gd name="connsiteY146" fmla="*/ 478075 h 1055849"/>
            <a:gd name="connsiteX147" fmla="*/ 762730 w 1063739"/>
            <a:gd name="connsiteY147" fmla="*/ 576610 h 1055849"/>
            <a:gd name="connsiteX148" fmla="*/ 806523 w 1063739"/>
            <a:gd name="connsiteY148" fmla="*/ 707989 h 1055849"/>
            <a:gd name="connsiteX149" fmla="*/ 828420 w 1063739"/>
            <a:gd name="connsiteY149" fmla="*/ 791926 h 1055849"/>
            <a:gd name="connsiteX150" fmla="*/ 846667 w 1063739"/>
            <a:gd name="connsiteY150" fmla="*/ 861265 h 1055849"/>
            <a:gd name="connsiteX151" fmla="*/ 850316 w 1063739"/>
            <a:gd name="connsiteY151" fmla="*/ 890460 h 1055849"/>
            <a:gd name="connsiteX152" fmla="*/ 853966 w 1063739"/>
            <a:gd name="connsiteY152" fmla="*/ 901409 h 1055849"/>
            <a:gd name="connsiteX153" fmla="*/ 857615 w 1063739"/>
            <a:gd name="connsiteY153" fmla="*/ 916006 h 1055849"/>
            <a:gd name="connsiteX154" fmla="*/ 853966 w 1063739"/>
            <a:gd name="connsiteY154" fmla="*/ 996294 h 1055849"/>
            <a:gd name="connsiteX155" fmla="*/ 846667 w 1063739"/>
            <a:gd name="connsiteY155" fmla="*/ 967098 h 1055849"/>
            <a:gd name="connsiteX156" fmla="*/ 839368 w 1063739"/>
            <a:gd name="connsiteY156" fmla="*/ 952500 h 1055849"/>
            <a:gd name="connsiteX157" fmla="*/ 821121 w 1063739"/>
            <a:gd name="connsiteY157" fmla="*/ 894110 h 1055849"/>
            <a:gd name="connsiteX158" fmla="*/ 791926 w 1063739"/>
            <a:gd name="connsiteY158" fmla="*/ 828420 h 1055849"/>
            <a:gd name="connsiteX159" fmla="*/ 780977 w 1063739"/>
            <a:gd name="connsiteY159" fmla="*/ 791926 h 1055849"/>
            <a:gd name="connsiteX160" fmla="*/ 733535 w 1063739"/>
            <a:gd name="connsiteY160" fmla="*/ 645949 h 1055849"/>
            <a:gd name="connsiteX161" fmla="*/ 718937 w 1063739"/>
            <a:gd name="connsiteY161" fmla="*/ 580259 h 1055849"/>
            <a:gd name="connsiteX162" fmla="*/ 686092 w 1063739"/>
            <a:gd name="connsiteY162" fmla="*/ 437932 h 1055849"/>
            <a:gd name="connsiteX163" fmla="*/ 664196 w 1063739"/>
            <a:gd name="connsiteY163" fmla="*/ 390489 h 1055849"/>
            <a:gd name="connsiteX164" fmla="*/ 653247 w 1063739"/>
            <a:gd name="connsiteY164" fmla="*/ 364943 h 1055849"/>
            <a:gd name="connsiteX165" fmla="*/ 638650 w 1063739"/>
            <a:gd name="connsiteY165" fmla="*/ 335748 h 1055849"/>
            <a:gd name="connsiteX166" fmla="*/ 627701 w 1063739"/>
            <a:gd name="connsiteY166" fmla="*/ 310202 h 1055849"/>
            <a:gd name="connsiteX167" fmla="*/ 613104 w 1063739"/>
            <a:gd name="connsiteY167" fmla="*/ 266409 h 1055849"/>
            <a:gd name="connsiteX168" fmla="*/ 591207 w 1063739"/>
            <a:gd name="connsiteY168" fmla="*/ 229914 h 1055849"/>
            <a:gd name="connsiteX169" fmla="*/ 583908 w 1063739"/>
            <a:gd name="connsiteY169" fmla="*/ 218966 h 1055849"/>
            <a:gd name="connsiteX170" fmla="*/ 572960 w 1063739"/>
            <a:gd name="connsiteY170" fmla="*/ 208018 h 1055849"/>
            <a:gd name="connsiteX171" fmla="*/ 547414 w 1063739"/>
            <a:gd name="connsiteY171" fmla="*/ 167874 h 1055849"/>
            <a:gd name="connsiteX172" fmla="*/ 536466 w 1063739"/>
            <a:gd name="connsiteY172" fmla="*/ 153276 h 1055849"/>
            <a:gd name="connsiteX173" fmla="*/ 514569 w 1063739"/>
            <a:gd name="connsiteY173" fmla="*/ 105834 h 1055849"/>
            <a:gd name="connsiteX174" fmla="*/ 503621 w 1063739"/>
            <a:gd name="connsiteY174" fmla="*/ 94886 h 1055849"/>
            <a:gd name="connsiteX175" fmla="*/ 485374 w 1063739"/>
            <a:gd name="connsiteY175" fmla="*/ 69340 h 1055849"/>
            <a:gd name="connsiteX176" fmla="*/ 474426 w 1063739"/>
            <a:gd name="connsiteY176" fmla="*/ 65690 h 1055849"/>
            <a:gd name="connsiteX177" fmla="*/ 470776 w 1063739"/>
            <a:gd name="connsiteY177" fmla="*/ 91236 h 1055849"/>
            <a:gd name="connsiteX178" fmla="*/ 445230 w 1063739"/>
            <a:gd name="connsiteY178" fmla="*/ 116782 h 1055849"/>
            <a:gd name="connsiteX179" fmla="*/ 426983 w 1063739"/>
            <a:gd name="connsiteY179" fmla="*/ 131380 h 1055849"/>
            <a:gd name="connsiteX180" fmla="*/ 394138 w 1063739"/>
            <a:gd name="connsiteY180" fmla="*/ 160575 h 1055849"/>
            <a:gd name="connsiteX181" fmla="*/ 328449 w 1063739"/>
            <a:gd name="connsiteY181" fmla="*/ 215317 h 1055849"/>
            <a:gd name="connsiteX182" fmla="*/ 244512 w 1063739"/>
            <a:gd name="connsiteY182" fmla="*/ 324799 h 1055849"/>
            <a:gd name="connsiteX183" fmla="*/ 226265 w 1063739"/>
            <a:gd name="connsiteY183" fmla="*/ 357644 h 1055849"/>
            <a:gd name="connsiteX184" fmla="*/ 208018 w 1063739"/>
            <a:gd name="connsiteY184" fmla="*/ 386840 h 1055849"/>
            <a:gd name="connsiteX185" fmla="*/ 189770 w 1063739"/>
            <a:gd name="connsiteY185" fmla="*/ 426983 h 1055849"/>
            <a:gd name="connsiteX186" fmla="*/ 178822 w 1063739"/>
            <a:gd name="connsiteY186" fmla="*/ 448880 h 1055849"/>
            <a:gd name="connsiteX187" fmla="*/ 175173 w 1063739"/>
            <a:gd name="connsiteY187" fmla="*/ 467127 h 1055849"/>
            <a:gd name="connsiteX188" fmla="*/ 164224 w 1063739"/>
            <a:gd name="connsiteY188" fmla="*/ 499972 h 1055849"/>
            <a:gd name="connsiteX189" fmla="*/ 160575 w 1063739"/>
            <a:gd name="connsiteY189" fmla="*/ 525518 h 1055849"/>
            <a:gd name="connsiteX190" fmla="*/ 156926 w 1063739"/>
            <a:gd name="connsiteY190" fmla="*/ 547414 h 1055849"/>
            <a:gd name="connsiteX191" fmla="*/ 149627 w 1063739"/>
            <a:gd name="connsiteY191" fmla="*/ 583909 h 1055849"/>
            <a:gd name="connsiteX192" fmla="*/ 138678 w 1063739"/>
            <a:gd name="connsiteY192" fmla="*/ 631351 h 1055849"/>
            <a:gd name="connsiteX193" fmla="*/ 135029 w 1063739"/>
            <a:gd name="connsiteY193" fmla="*/ 656897 h 1055849"/>
            <a:gd name="connsiteX194" fmla="*/ 131380 w 1063739"/>
            <a:gd name="connsiteY194" fmla="*/ 686092 h 1055849"/>
            <a:gd name="connsiteX195" fmla="*/ 124081 w 1063739"/>
            <a:gd name="connsiteY195" fmla="*/ 715288 h 1055849"/>
            <a:gd name="connsiteX196" fmla="*/ 120431 w 1063739"/>
            <a:gd name="connsiteY196" fmla="*/ 740834 h 1055849"/>
            <a:gd name="connsiteX197" fmla="*/ 116782 w 1063739"/>
            <a:gd name="connsiteY197" fmla="*/ 762730 h 1055849"/>
            <a:gd name="connsiteX198" fmla="*/ 116782 w 1063739"/>
            <a:gd name="connsiteY198" fmla="*/ 978046 h 1055849"/>
            <a:gd name="connsiteX199" fmla="*/ 113132 w 1063739"/>
            <a:gd name="connsiteY199" fmla="*/ 934253 h 1055849"/>
            <a:gd name="connsiteX200" fmla="*/ 105834 w 1063739"/>
            <a:gd name="connsiteY200" fmla="*/ 912357 h 1055849"/>
            <a:gd name="connsiteX201" fmla="*/ 102184 w 1063739"/>
            <a:gd name="connsiteY201" fmla="*/ 890460 h 1055849"/>
            <a:gd name="connsiteX202" fmla="*/ 105834 w 1063739"/>
            <a:gd name="connsiteY202" fmla="*/ 780977 h 1055849"/>
            <a:gd name="connsiteX203" fmla="*/ 124081 w 1063739"/>
            <a:gd name="connsiteY203" fmla="*/ 697041 h 1055849"/>
            <a:gd name="connsiteX204" fmla="*/ 182472 w 1063739"/>
            <a:gd name="connsiteY204" fmla="*/ 503621 h 1055849"/>
            <a:gd name="connsiteX205" fmla="*/ 270058 w 1063739"/>
            <a:gd name="connsiteY205" fmla="*/ 277357 h 1055849"/>
            <a:gd name="connsiteX206" fmla="*/ 335747 w 1063739"/>
            <a:gd name="connsiteY206" fmla="*/ 167874 h 1055849"/>
            <a:gd name="connsiteX207" fmla="*/ 361293 w 1063739"/>
            <a:gd name="connsiteY207" fmla="*/ 116782 h 1055849"/>
            <a:gd name="connsiteX208" fmla="*/ 394138 w 1063739"/>
            <a:gd name="connsiteY208" fmla="*/ 72989 h 1055849"/>
            <a:gd name="connsiteX209" fmla="*/ 434282 w 1063739"/>
            <a:gd name="connsiteY209" fmla="*/ 58391 h 1055849"/>
            <a:gd name="connsiteX210" fmla="*/ 445230 w 1063739"/>
            <a:gd name="connsiteY210" fmla="*/ 54742 h 1055849"/>
            <a:gd name="connsiteX211" fmla="*/ 426983 w 1063739"/>
            <a:gd name="connsiteY211" fmla="*/ 69340 h 1055849"/>
            <a:gd name="connsiteX212" fmla="*/ 379541 w 1063739"/>
            <a:gd name="connsiteY212" fmla="*/ 91236 h 1055849"/>
            <a:gd name="connsiteX213" fmla="*/ 361293 w 1063739"/>
            <a:gd name="connsiteY213" fmla="*/ 102184 h 1055849"/>
            <a:gd name="connsiteX214" fmla="*/ 339397 w 1063739"/>
            <a:gd name="connsiteY214" fmla="*/ 116782 h 1055849"/>
            <a:gd name="connsiteX215" fmla="*/ 313851 w 1063739"/>
            <a:gd name="connsiteY215" fmla="*/ 145977 h 1055849"/>
            <a:gd name="connsiteX216" fmla="*/ 281006 w 1063739"/>
            <a:gd name="connsiteY216" fmla="*/ 178822 h 1055849"/>
            <a:gd name="connsiteX217" fmla="*/ 248161 w 1063739"/>
            <a:gd name="connsiteY217" fmla="*/ 222615 h 1055849"/>
            <a:gd name="connsiteX218" fmla="*/ 186121 w 1063739"/>
            <a:gd name="connsiteY218" fmla="*/ 321150 h 1055849"/>
            <a:gd name="connsiteX219" fmla="*/ 175173 w 1063739"/>
            <a:gd name="connsiteY219" fmla="*/ 346696 h 1055849"/>
            <a:gd name="connsiteX220" fmla="*/ 167874 w 1063739"/>
            <a:gd name="connsiteY220" fmla="*/ 361294 h 1055849"/>
            <a:gd name="connsiteX221" fmla="*/ 164224 w 1063739"/>
            <a:gd name="connsiteY221" fmla="*/ 375891 h 1055849"/>
            <a:gd name="connsiteX222" fmla="*/ 160575 w 1063739"/>
            <a:gd name="connsiteY222" fmla="*/ 386840 h 1055849"/>
            <a:gd name="connsiteX223" fmla="*/ 142328 w 1063739"/>
            <a:gd name="connsiteY223" fmla="*/ 474426 h 1055849"/>
            <a:gd name="connsiteX224" fmla="*/ 127730 w 1063739"/>
            <a:gd name="connsiteY224" fmla="*/ 543765 h 1055849"/>
            <a:gd name="connsiteX225" fmla="*/ 124081 w 1063739"/>
            <a:gd name="connsiteY225" fmla="*/ 576610 h 1055849"/>
            <a:gd name="connsiteX226" fmla="*/ 120431 w 1063739"/>
            <a:gd name="connsiteY226" fmla="*/ 602156 h 1055849"/>
            <a:gd name="connsiteX227" fmla="*/ 113132 w 1063739"/>
            <a:gd name="connsiteY227" fmla="*/ 671495 h 1055849"/>
            <a:gd name="connsiteX228" fmla="*/ 109483 w 1063739"/>
            <a:gd name="connsiteY228" fmla="*/ 821121 h 1055849"/>
            <a:gd name="connsiteX229" fmla="*/ 113132 w 1063739"/>
            <a:gd name="connsiteY229" fmla="*/ 916006 h 1055849"/>
            <a:gd name="connsiteX230" fmla="*/ 120431 w 1063739"/>
            <a:gd name="connsiteY230" fmla="*/ 715288 h 1055849"/>
            <a:gd name="connsiteX231" fmla="*/ 142328 w 1063739"/>
            <a:gd name="connsiteY231" fmla="*/ 616753 h 1055849"/>
            <a:gd name="connsiteX232" fmla="*/ 149627 w 1063739"/>
            <a:gd name="connsiteY232" fmla="*/ 580259 h 1055849"/>
            <a:gd name="connsiteX233" fmla="*/ 171523 w 1063739"/>
            <a:gd name="connsiteY233" fmla="*/ 525518 h 1055849"/>
            <a:gd name="connsiteX234" fmla="*/ 186121 w 1063739"/>
            <a:gd name="connsiteY234" fmla="*/ 485374 h 1055849"/>
            <a:gd name="connsiteX235" fmla="*/ 197069 w 1063739"/>
            <a:gd name="connsiteY235" fmla="*/ 467127 h 1055849"/>
            <a:gd name="connsiteX236" fmla="*/ 215316 w 1063739"/>
            <a:gd name="connsiteY236" fmla="*/ 412386 h 1055849"/>
            <a:gd name="connsiteX237" fmla="*/ 233564 w 1063739"/>
            <a:gd name="connsiteY237" fmla="*/ 375891 h 1055849"/>
            <a:gd name="connsiteX238" fmla="*/ 266408 w 1063739"/>
            <a:gd name="connsiteY238" fmla="*/ 302903 h 1055849"/>
            <a:gd name="connsiteX239" fmla="*/ 284655 w 1063739"/>
            <a:gd name="connsiteY239" fmla="*/ 284656 h 1055849"/>
            <a:gd name="connsiteX240" fmla="*/ 302903 w 1063739"/>
            <a:gd name="connsiteY240" fmla="*/ 262759 h 1055849"/>
            <a:gd name="connsiteX241" fmla="*/ 350345 w 1063739"/>
            <a:gd name="connsiteY241" fmla="*/ 200719 h 1055849"/>
            <a:gd name="connsiteX242" fmla="*/ 416035 w 1063739"/>
            <a:gd name="connsiteY242" fmla="*/ 120432 h 1055849"/>
            <a:gd name="connsiteX243" fmla="*/ 426983 w 1063739"/>
            <a:gd name="connsiteY243" fmla="*/ 109483 h 1055849"/>
            <a:gd name="connsiteX244" fmla="*/ 445230 w 1063739"/>
            <a:gd name="connsiteY244" fmla="*/ 105834 h 1055849"/>
            <a:gd name="connsiteX245" fmla="*/ 456178 w 1063739"/>
            <a:gd name="connsiteY245" fmla="*/ 98535 h 1055849"/>
            <a:gd name="connsiteX246" fmla="*/ 470776 w 1063739"/>
            <a:gd name="connsiteY246" fmla="*/ 87587 h 1055849"/>
            <a:gd name="connsiteX247" fmla="*/ 445230 w 1063739"/>
            <a:gd name="connsiteY247" fmla="*/ 94886 h 1055849"/>
            <a:gd name="connsiteX248" fmla="*/ 423334 w 1063739"/>
            <a:gd name="connsiteY248" fmla="*/ 116782 h 1055849"/>
            <a:gd name="connsiteX249" fmla="*/ 412385 w 1063739"/>
            <a:gd name="connsiteY249" fmla="*/ 124081 h 1055849"/>
            <a:gd name="connsiteX250" fmla="*/ 394138 w 1063739"/>
            <a:gd name="connsiteY250" fmla="*/ 138679 h 1055849"/>
            <a:gd name="connsiteX251" fmla="*/ 372242 w 1063739"/>
            <a:gd name="connsiteY251" fmla="*/ 160575 h 1055849"/>
            <a:gd name="connsiteX252" fmla="*/ 339397 w 1063739"/>
            <a:gd name="connsiteY252" fmla="*/ 189771 h 1055849"/>
            <a:gd name="connsiteX253" fmla="*/ 237213 w 1063739"/>
            <a:gd name="connsiteY253" fmla="*/ 302903 h 1055849"/>
            <a:gd name="connsiteX254" fmla="*/ 105834 w 1063739"/>
            <a:gd name="connsiteY254" fmla="*/ 478075 h 1055849"/>
            <a:gd name="connsiteX255" fmla="*/ 51092 w 1063739"/>
            <a:gd name="connsiteY255" fmla="*/ 580259 h 1055849"/>
            <a:gd name="connsiteX256" fmla="*/ 43793 w 1063739"/>
            <a:gd name="connsiteY256" fmla="*/ 602156 h 1055849"/>
            <a:gd name="connsiteX257" fmla="*/ 40144 w 1063739"/>
            <a:gd name="connsiteY257" fmla="*/ 624052 h 1055849"/>
            <a:gd name="connsiteX258" fmla="*/ 36495 w 1063739"/>
            <a:gd name="connsiteY258" fmla="*/ 638650 h 1055849"/>
            <a:gd name="connsiteX259" fmla="*/ 32845 w 1063739"/>
            <a:gd name="connsiteY259" fmla="*/ 693391 h 1055849"/>
            <a:gd name="connsiteX260" fmla="*/ 29196 w 1063739"/>
            <a:gd name="connsiteY260" fmla="*/ 740834 h 1055849"/>
            <a:gd name="connsiteX261" fmla="*/ 36495 w 1063739"/>
            <a:gd name="connsiteY261" fmla="*/ 832069 h 1055849"/>
            <a:gd name="connsiteX262" fmla="*/ 43793 w 1063739"/>
            <a:gd name="connsiteY262" fmla="*/ 890460 h 1055849"/>
            <a:gd name="connsiteX263" fmla="*/ 47443 w 1063739"/>
            <a:gd name="connsiteY263" fmla="*/ 956150 h 1055849"/>
            <a:gd name="connsiteX264" fmla="*/ 51092 w 1063739"/>
            <a:gd name="connsiteY264" fmla="*/ 941552 h 1055849"/>
            <a:gd name="connsiteX265" fmla="*/ 47443 w 1063739"/>
            <a:gd name="connsiteY265" fmla="*/ 905058 h 1055849"/>
            <a:gd name="connsiteX266" fmla="*/ 51092 w 1063739"/>
            <a:gd name="connsiteY266" fmla="*/ 737184 h 1055849"/>
            <a:gd name="connsiteX267" fmla="*/ 72989 w 1063739"/>
            <a:gd name="connsiteY267" fmla="*/ 675144 h 1055849"/>
            <a:gd name="connsiteX268" fmla="*/ 120431 w 1063739"/>
            <a:gd name="connsiteY268" fmla="*/ 547414 h 1055849"/>
            <a:gd name="connsiteX269" fmla="*/ 145977 w 1063739"/>
            <a:gd name="connsiteY269" fmla="*/ 481725 h 1055849"/>
            <a:gd name="connsiteX270" fmla="*/ 153276 w 1063739"/>
            <a:gd name="connsiteY270" fmla="*/ 459828 h 1055849"/>
            <a:gd name="connsiteX271" fmla="*/ 160575 w 1063739"/>
            <a:gd name="connsiteY271" fmla="*/ 441581 h 1055849"/>
            <a:gd name="connsiteX272" fmla="*/ 175173 w 1063739"/>
            <a:gd name="connsiteY272" fmla="*/ 390489 h 1055849"/>
            <a:gd name="connsiteX273" fmla="*/ 270058 w 1063739"/>
            <a:gd name="connsiteY273" fmla="*/ 200719 h 1055849"/>
            <a:gd name="connsiteX274" fmla="*/ 313851 w 1063739"/>
            <a:gd name="connsiteY274" fmla="*/ 138679 h 1055849"/>
            <a:gd name="connsiteX275" fmla="*/ 353995 w 1063739"/>
            <a:gd name="connsiteY275" fmla="*/ 87587 h 1055849"/>
            <a:gd name="connsiteX276" fmla="*/ 375891 w 1063739"/>
            <a:gd name="connsiteY276" fmla="*/ 69340 h 1055849"/>
            <a:gd name="connsiteX277" fmla="*/ 416035 w 1063739"/>
            <a:gd name="connsiteY277" fmla="*/ 29196 h 1055849"/>
            <a:gd name="connsiteX278" fmla="*/ 441581 w 1063739"/>
            <a:gd name="connsiteY278" fmla="*/ 3650 h 1055849"/>
            <a:gd name="connsiteX279" fmla="*/ 452529 w 1063739"/>
            <a:gd name="connsiteY279" fmla="*/ 0 h 1055849"/>
            <a:gd name="connsiteX280" fmla="*/ 463477 w 1063739"/>
            <a:gd name="connsiteY280" fmla="*/ 3650 h 1055849"/>
            <a:gd name="connsiteX281" fmla="*/ 452529 w 1063739"/>
            <a:gd name="connsiteY281" fmla="*/ 10949 h 1055849"/>
            <a:gd name="connsiteX282" fmla="*/ 416035 w 1063739"/>
            <a:gd name="connsiteY282" fmla="*/ 18248 h 1055849"/>
            <a:gd name="connsiteX283" fmla="*/ 372242 w 1063739"/>
            <a:gd name="connsiteY283" fmla="*/ 54742 h 1055849"/>
            <a:gd name="connsiteX284" fmla="*/ 361293 w 1063739"/>
            <a:gd name="connsiteY284" fmla="*/ 65690 h 1055849"/>
            <a:gd name="connsiteX285" fmla="*/ 350345 w 1063739"/>
            <a:gd name="connsiteY285" fmla="*/ 80288 h 1055849"/>
            <a:gd name="connsiteX286" fmla="*/ 339397 w 1063739"/>
            <a:gd name="connsiteY286" fmla="*/ 98535 h 1055849"/>
            <a:gd name="connsiteX287" fmla="*/ 321150 w 1063739"/>
            <a:gd name="connsiteY287" fmla="*/ 120432 h 1055849"/>
            <a:gd name="connsiteX288" fmla="*/ 244512 w 1063739"/>
            <a:gd name="connsiteY288" fmla="*/ 240863 h 1055849"/>
            <a:gd name="connsiteX289" fmla="*/ 208018 w 1063739"/>
            <a:gd name="connsiteY289" fmla="*/ 310202 h 1055849"/>
            <a:gd name="connsiteX290" fmla="*/ 193420 w 1063739"/>
            <a:gd name="connsiteY290" fmla="*/ 335748 h 1055849"/>
            <a:gd name="connsiteX291" fmla="*/ 186121 w 1063739"/>
            <a:gd name="connsiteY291" fmla="*/ 361294 h 1055849"/>
            <a:gd name="connsiteX292" fmla="*/ 178822 w 1063739"/>
            <a:gd name="connsiteY292" fmla="*/ 379541 h 1055849"/>
            <a:gd name="connsiteX293" fmla="*/ 175173 w 1063739"/>
            <a:gd name="connsiteY293" fmla="*/ 397788 h 1055849"/>
            <a:gd name="connsiteX294" fmla="*/ 167874 w 1063739"/>
            <a:gd name="connsiteY294" fmla="*/ 426983 h 1055849"/>
            <a:gd name="connsiteX295" fmla="*/ 164224 w 1063739"/>
            <a:gd name="connsiteY295" fmla="*/ 445230 h 1055849"/>
            <a:gd name="connsiteX296" fmla="*/ 160575 w 1063739"/>
            <a:gd name="connsiteY296" fmla="*/ 467127 h 1055849"/>
            <a:gd name="connsiteX297" fmla="*/ 145977 w 1063739"/>
            <a:gd name="connsiteY297" fmla="*/ 532817 h 1055849"/>
            <a:gd name="connsiteX298" fmla="*/ 138678 w 1063739"/>
            <a:gd name="connsiteY298" fmla="*/ 562012 h 1055849"/>
            <a:gd name="connsiteX299" fmla="*/ 131380 w 1063739"/>
            <a:gd name="connsiteY299" fmla="*/ 598506 h 1055849"/>
            <a:gd name="connsiteX300" fmla="*/ 120431 w 1063739"/>
            <a:gd name="connsiteY300" fmla="*/ 635000 h 1055849"/>
            <a:gd name="connsiteX301" fmla="*/ 113132 w 1063739"/>
            <a:gd name="connsiteY301" fmla="*/ 671495 h 1055849"/>
            <a:gd name="connsiteX302" fmla="*/ 102184 w 1063739"/>
            <a:gd name="connsiteY302" fmla="*/ 718937 h 1055849"/>
            <a:gd name="connsiteX303" fmla="*/ 91236 w 1063739"/>
            <a:gd name="connsiteY303" fmla="*/ 773679 h 1055849"/>
            <a:gd name="connsiteX304" fmla="*/ 76638 w 1063739"/>
            <a:gd name="connsiteY304" fmla="*/ 828420 h 1055849"/>
            <a:gd name="connsiteX305" fmla="*/ 51092 w 1063739"/>
            <a:gd name="connsiteY305" fmla="*/ 970748 h 1055849"/>
            <a:gd name="connsiteX306" fmla="*/ 40144 w 1063739"/>
            <a:gd name="connsiteY306" fmla="*/ 1036437 h 1055849"/>
            <a:gd name="connsiteX307" fmla="*/ 36495 w 1063739"/>
            <a:gd name="connsiteY307" fmla="*/ 1054684 h 1055849"/>
            <a:gd name="connsiteX308" fmla="*/ 40144 w 1063739"/>
            <a:gd name="connsiteY308" fmla="*/ 1043736 h 1055849"/>
            <a:gd name="connsiteX309" fmla="*/ 36495 w 1063739"/>
            <a:gd name="connsiteY309" fmla="*/ 999943 h 1055849"/>
            <a:gd name="connsiteX310" fmla="*/ 29196 w 1063739"/>
            <a:gd name="connsiteY310" fmla="*/ 985345 h 1055849"/>
            <a:gd name="connsiteX311" fmla="*/ 21897 w 1063739"/>
            <a:gd name="connsiteY311" fmla="*/ 967098 h 1055849"/>
            <a:gd name="connsiteX312" fmla="*/ 14598 w 1063739"/>
            <a:gd name="connsiteY312" fmla="*/ 956150 h 1055849"/>
            <a:gd name="connsiteX313" fmla="*/ 3650 w 1063739"/>
            <a:gd name="connsiteY313" fmla="*/ 923305 h 1055849"/>
            <a:gd name="connsiteX314" fmla="*/ 0 w 1063739"/>
            <a:gd name="connsiteY314" fmla="*/ 897759 h 1055849"/>
            <a:gd name="connsiteX315" fmla="*/ 7299 w 1063739"/>
            <a:gd name="connsiteY315" fmla="*/ 700690 h 1055849"/>
            <a:gd name="connsiteX316" fmla="*/ 10949 w 1063739"/>
            <a:gd name="connsiteY316" fmla="*/ 671495 h 1055849"/>
            <a:gd name="connsiteX317" fmla="*/ 18247 w 1063739"/>
            <a:gd name="connsiteY317" fmla="*/ 649598 h 1055849"/>
            <a:gd name="connsiteX318" fmla="*/ 21897 w 1063739"/>
            <a:gd name="connsiteY318" fmla="*/ 631351 h 1055849"/>
            <a:gd name="connsiteX319" fmla="*/ 32845 w 1063739"/>
            <a:gd name="connsiteY319" fmla="*/ 605805 h 1055849"/>
            <a:gd name="connsiteX320" fmla="*/ 54742 w 1063739"/>
            <a:gd name="connsiteY320" fmla="*/ 547414 h 1055849"/>
            <a:gd name="connsiteX321" fmla="*/ 65690 w 1063739"/>
            <a:gd name="connsiteY321" fmla="*/ 521868 h 1055849"/>
            <a:gd name="connsiteX322" fmla="*/ 80288 w 1063739"/>
            <a:gd name="connsiteY322" fmla="*/ 478075 h 1055849"/>
            <a:gd name="connsiteX323" fmla="*/ 87586 w 1063739"/>
            <a:gd name="connsiteY323" fmla="*/ 459828 h 1055849"/>
            <a:gd name="connsiteX324" fmla="*/ 113132 w 1063739"/>
            <a:gd name="connsiteY324" fmla="*/ 419684 h 1055849"/>
            <a:gd name="connsiteX325" fmla="*/ 135029 w 1063739"/>
            <a:gd name="connsiteY325" fmla="*/ 379541 h 1055849"/>
            <a:gd name="connsiteX326" fmla="*/ 160575 w 1063739"/>
            <a:gd name="connsiteY326" fmla="*/ 339397 h 1055849"/>
            <a:gd name="connsiteX327" fmla="*/ 186121 w 1063739"/>
            <a:gd name="connsiteY327" fmla="*/ 288305 h 1055849"/>
            <a:gd name="connsiteX328" fmla="*/ 208018 w 1063739"/>
            <a:gd name="connsiteY328" fmla="*/ 259110 h 1055849"/>
            <a:gd name="connsiteX329" fmla="*/ 218966 w 1063739"/>
            <a:gd name="connsiteY329" fmla="*/ 248161 h 1055849"/>
            <a:gd name="connsiteX330" fmla="*/ 229914 w 1063739"/>
            <a:gd name="connsiteY330" fmla="*/ 229914 h 1055849"/>
            <a:gd name="connsiteX331" fmla="*/ 248161 w 1063739"/>
            <a:gd name="connsiteY331" fmla="*/ 208018 h 1055849"/>
            <a:gd name="connsiteX332" fmla="*/ 291954 w 1063739"/>
            <a:gd name="connsiteY332" fmla="*/ 149627 h 1055849"/>
            <a:gd name="connsiteX333" fmla="*/ 372242 w 1063739"/>
            <a:gd name="connsiteY333" fmla="*/ 62041 h 1055849"/>
            <a:gd name="connsiteX334" fmla="*/ 386839 w 1063739"/>
            <a:gd name="connsiteY334" fmla="*/ 51092 h 1055849"/>
            <a:gd name="connsiteX335" fmla="*/ 430632 w 1063739"/>
            <a:gd name="connsiteY335" fmla="*/ 32845 h 1055849"/>
            <a:gd name="connsiteX336" fmla="*/ 445230 w 1063739"/>
            <a:gd name="connsiteY336" fmla="*/ 25546 h 1055849"/>
            <a:gd name="connsiteX337" fmla="*/ 485374 w 1063739"/>
            <a:gd name="connsiteY337" fmla="*/ 32845 h 1055849"/>
            <a:gd name="connsiteX338" fmla="*/ 503621 w 1063739"/>
            <a:gd name="connsiteY338" fmla="*/ 40144 h 1055849"/>
            <a:gd name="connsiteX339" fmla="*/ 514569 w 1063739"/>
            <a:gd name="connsiteY339" fmla="*/ 43794 h 1055849"/>
            <a:gd name="connsiteX340" fmla="*/ 536466 w 1063739"/>
            <a:gd name="connsiteY340" fmla="*/ 54742 h 1055849"/>
            <a:gd name="connsiteX341" fmla="*/ 565661 w 1063739"/>
            <a:gd name="connsiteY341" fmla="*/ 72989 h 1055849"/>
            <a:gd name="connsiteX342" fmla="*/ 591207 w 1063739"/>
            <a:gd name="connsiteY342" fmla="*/ 94886 h 1055849"/>
            <a:gd name="connsiteX343" fmla="*/ 627701 w 1063739"/>
            <a:gd name="connsiteY343" fmla="*/ 120432 h 1055849"/>
            <a:gd name="connsiteX344" fmla="*/ 664196 w 1063739"/>
            <a:gd name="connsiteY344" fmla="*/ 156926 h 1055849"/>
            <a:gd name="connsiteX345" fmla="*/ 682443 w 1063739"/>
            <a:gd name="connsiteY345" fmla="*/ 175173 h 1055849"/>
            <a:gd name="connsiteX346" fmla="*/ 693391 w 1063739"/>
            <a:gd name="connsiteY346" fmla="*/ 189771 h 1055849"/>
            <a:gd name="connsiteX347" fmla="*/ 711638 w 1063739"/>
            <a:gd name="connsiteY347" fmla="*/ 208018 h 1055849"/>
            <a:gd name="connsiteX348" fmla="*/ 748132 w 1063739"/>
            <a:gd name="connsiteY348" fmla="*/ 251811 h 1055849"/>
            <a:gd name="connsiteX349" fmla="*/ 766380 w 1063739"/>
            <a:gd name="connsiteY349" fmla="*/ 273707 h 1055849"/>
            <a:gd name="connsiteX350" fmla="*/ 784627 w 1063739"/>
            <a:gd name="connsiteY350" fmla="*/ 299253 h 1055849"/>
            <a:gd name="connsiteX351" fmla="*/ 817472 w 1063739"/>
            <a:gd name="connsiteY351" fmla="*/ 353995 h 1055849"/>
            <a:gd name="connsiteX352" fmla="*/ 832069 w 1063739"/>
            <a:gd name="connsiteY352" fmla="*/ 372242 h 1055849"/>
            <a:gd name="connsiteX353" fmla="*/ 879512 w 1063739"/>
            <a:gd name="connsiteY353" fmla="*/ 474426 h 1055849"/>
            <a:gd name="connsiteX354" fmla="*/ 894109 w 1063739"/>
            <a:gd name="connsiteY354" fmla="*/ 503621 h 1055849"/>
            <a:gd name="connsiteX355" fmla="*/ 905058 w 1063739"/>
            <a:gd name="connsiteY355" fmla="*/ 532817 h 1055849"/>
            <a:gd name="connsiteX356" fmla="*/ 930604 w 1063739"/>
            <a:gd name="connsiteY356" fmla="*/ 583909 h 1055849"/>
            <a:gd name="connsiteX357" fmla="*/ 941552 w 1063739"/>
            <a:gd name="connsiteY357" fmla="*/ 613104 h 1055849"/>
            <a:gd name="connsiteX358" fmla="*/ 956150 w 1063739"/>
            <a:gd name="connsiteY358" fmla="*/ 645949 h 1055849"/>
            <a:gd name="connsiteX359" fmla="*/ 963449 w 1063739"/>
            <a:gd name="connsiteY359" fmla="*/ 671495 h 1055849"/>
            <a:gd name="connsiteX360" fmla="*/ 974397 w 1063739"/>
            <a:gd name="connsiteY360" fmla="*/ 693391 h 1055849"/>
            <a:gd name="connsiteX361" fmla="*/ 988995 w 1063739"/>
            <a:gd name="connsiteY361" fmla="*/ 740834 h 1055849"/>
            <a:gd name="connsiteX362" fmla="*/ 996293 w 1063739"/>
            <a:gd name="connsiteY362" fmla="*/ 751782 h 1055849"/>
            <a:gd name="connsiteX363" fmla="*/ 1007242 w 1063739"/>
            <a:gd name="connsiteY363" fmla="*/ 802874 h 1055849"/>
            <a:gd name="connsiteX364" fmla="*/ 1018190 w 1063739"/>
            <a:gd name="connsiteY364" fmla="*/ 828420 h 1055849"/>
            <a:gd name="connsiteX365" fmla="*/ 1036437 w 1063739"/>
            <a:gd name="connsiteY365" fmla="*/ 890460 h 1055849"/>
            <a:gd name="connsiteX366" fmla="*/ 1036437 w 1063739"/>
            <a:gd name="connsiteY366" fmla="*/ 890460 h 1055849"/>
            <a:gd name="connsiteX367" fmla="*/ 1040086 w 1063739"/>
            <a:gd name="connsiteY367" fmla="*/ 905058 h 1055849"/>
            <a:gd name="connsiteX368" fmla="*/ 1051035 w 1063739"/>
            <a:gd name="connsiteY368" fmla="*/ 926954 h 1055849"/>
            <a:gd name="connsiteX369" fmla="*/ 1054684 w 1063739"/>
            <a:gd name="connsiteY369" fmla="*/ 948851 h 1055849"/>
            <a:gd name="connsiteX370" fmla="*/ 1061983 w 1063739"/>
            <a:gd name="connsiteY370" fmla="*/ 978046 h 1055849"/>
            <a:gd name="connsiteX371" fmla="*/ 1051035 w 1063739"/>
            <a:gd name="connsiteY371" fmla="*/ 963449 h 1055849"/>
            <a:gd name="connsiteX372" fmla="*/ 1036437 w 1063739"/>
            <a:gd name="connsiteY372" fmla="*/ 926954 h 1055849"/>
            <a:gd name="connsiteX373" fmla="*/ 1029138 w 1063739"/>
            <a:gd name="connsiteY373" fmla="*/ 912357 h 1055849"/>
            <a:gd name="connsiteX374" fmla="*/ 1007242 w 1063739"/>
            <a:gd name="connsiteY374" fmla="*/ 861265 h 1055849"/>
            <a:gd name="connsiteX375" fmla="*/ 999943 w 1063739"/>
            <a:gd name="connsiteY375" fmla="*/ 846667 h 1055849"/>
            <a:gd name="connsiteX376" fmla="*/ 985345 w 1063739"/>
            <a:gd name="connsiteY376" fmla="*/ 828420 h 1055849"/>
            <a:gd name="connsiteX377" fmla="*/ 974397 w 1063739"/>
            <a:gd name="connsiteY377" fmla="*/ 806523 h 1055849"/>
            <a:gd name="connsiteX378" fmla="*/ 963449 w 1063739"/>
            <a:gd name="connsiteY378" fmla="*/ 788276 h 1055849"/>
            <a:gd name="connsiteX379" fmla="*/ 952500 w 1063739"/>
            <a:gd name="connsiteY379" fmla="*/ 766380 h 1055849"/>
            <a:gd name="connsiteX380" fmla="*/ 934253 w 1063739"/>
            <a:gd name="connsiteY380" fmla="*/ 740834 h 1055849"/>
            <a:gd name="connsiteX381" fmla="*/ 916006 w 1063739"/>
            <a:gd name="connsiteY381" fmla="*/ 704340 h 1055849"/>
            <a:gd name="connsiteX382" fmla="*/ 846667 w 1063739"/>
            <a:gd name="connsiteY382" fmla="*/ 576610 h 1055849"/>
            <a:gd name="connsiteX383" fmla="*/ 817472 w 1063739"/>
            <a:gd name="connsiteY383" fmla="*/ 521868 h 1055849"/>
            <a:gd name="connsiteX384" fmla="*/ 788276 w 1063739"/>
            <a:gd name="connsiteY384" fmla="*/ 470776 h 1055849"/>
            <a:gd name="connsiteX385" fmla="*/ 780977 w 1063739"/>
            <a:gd name="connsiteY385" fmla="*/ 459828 h 1055849"/>
            <a:gd name="connsiteX386" fmla="*/ 773678 w 1063739"/>
            <a:gd name="connsiteY386" fmla="*/ 445230 h 1055849"/>
            <a:gd name="connsiteX387" fmla="*/ 762730 w 1063739"/>
            <a:gd name="connsiteY387" fmla="*/ 426983 h 1055849"/>
            <a:gd name="connsiteX388" fmla="*/ 751782 w 1063739"/>
            <a:gd name="connsiteY388" fmla="*/ 394138 h 1055849"/>
            <a:gd name="connsiteX389" fmla="*/ 729885 w 1063739"/>
            <a:gd name="connsiteY389" fmla="*/ 317500 h 1055849"/>
            <a:gd name="connsiteX390" fmla="*/ 718937 w 1063739"/>
            <a:gd name="connsiteY390" fmla="*/ 284656 h 1055849"/>
            <a:gd name="connsiteX391" fmla="*/ 689742 w 1063739"/>
            <a:gd name="connsiteY391" fmla="*/ 226265 h 1055849"/>
            <a:gd name="connsiteX392" fmla="*/ 675144 w 1063739"/>
            <a:gd name="connsiteY392" fmla="*/ 197069 h 1055849"/>
            <a:gd name="connsiteX393" fmla="*/ 649598 w 1063739"/>
            <a:gd name="connsiteY393" fmla="*/ 138679 h 1055849"/>
            <a:gd name="connsiteX394" fmla="*/ 631351 w 1063739"/>
            <a:gd name="connsiteY394" fmla="*/ 105834 h 1055849"/>
            <a:gd name="connsiteX395" fmla="*/ 605805 w 1063739"/>
            <a:gd name="connsiteY395" fmla="*/ 80288 h 1055849"/>
            <a:gd name="connsiteX396" fmla="*/ 598506 w 1063739"/>
            <a:gd name="connsiteY396" fmla="*/ 69340 h 1055849"/>
            <a:gd name="connsiteX397" fmla="*/ 576609 w 1063739"/>
            <a:gd name="connsiteY397" fmla="*/ 54742 h 1055849"/>
            <a:gd name="connsiteX398" fmla="*/ 562012 w 1063739"/>
            <a:gd name="connsiteY398" fmla="*/ 51092 h 1055849"/>
            <a:gd name="connsiteX399" fmla="*/ 540115 w 1063739"/>
            <a:gd name="connsiteY399" fmla="*/ 43794 h 1055849"/>
            <a:gd name="connsiteX400" fmla="*/ 521868 w 1063739"/>
            <a:gd name="connsiteY400" fmla="*/ 47443 h 1055849"/>
            <a:gd name="connsiteX401" fmla="*/ 510920 w 1063739"/>
            <a:gd name="connsiteY401" fmla="*/ 54742 h 1055849"/>
            <a:gd name="connsiteX402" fmla="*/ 467127 w 1063739"/>
            <a:gd name="connsiteY402" fmla="*/ 69340 h 1055849"/>
            <a:gd name="connsiteX403" fmla="*/ 434282 w 1063739"/>
            <a:gd name="connsiteY403" fmla="*/ 91236 h 1055849"/>
            <a:gd name="connsiteX404" fmla="*/ 397788 w 1063739"/>
            <a:gd name="connsiteY404" fmla="*/ 142328 h 1055849"/>
            <a:gd name="connsiteX405" fmla="*/ 386839 w 1063739"/>
            <a:gd name="connsiteY405" fmla="*/ 156926 h 1055849"/>
            <a:gd name="connsiteX406" fmla="*/ 335747 w 1063739"/>
            <a:gd name="connsiteY406" fmla="*/ 215317 h 1055849"/>
            <a:gd name="connsiteX407" fmla="*/ 317500 w 1063739"/>
            <a:gd name="connsiteY407" fmla="*/ 244512 h 1055849"/>
            <a:gd name="connsiteX408" fmla="*/ 284655 w 1063739"/>
            <a:gd name="connsiteY408" fmla="*/ 291954 h 1055849"/>
            <a:gd name="connsiteX409" fmla="*/ 270058 w 1063739"/>
            <a:gd name="connsiteY409" fmla="*/ 321150 h 1055849"/>
            <a:gd name="connsiteX410" fmla="*/ 262759 w 1063739"/>
            <a:gd name="connsiteY410" fmla="*/ 332098 h 1055849"/>
            <a:gd name="connsiteX411" fmla="*/ 244512 w 1063739"/>
            <a:gd name="connsiteY411" fmla="*/ 361294 h 1055849"/>
            <a:gd name="connsiteX412" fmla="*/ 237213 w 1063739"/>
            <a:gd name="connsiteY412" fmla="*/ 383190 h 1055849"/>
            <a:gd name="connsiteX413" fmla="*/ 215316 w 1063739"/>
            <a:gd name="connsiteY413" fmla="*/ 419684 h 1055849"/>
            <a:gd name="connsiteX414" fmla="*/ 200719 w 1063739"/>
            <a:gd name="connsiteY414" fmla="*/ 456179 h 1055849"/>
            <a:gd name="connsiteX415" fmla="*/ 193420 w 1063739"/>
            <a:gd name="connsiteY415" fmla="*/ 474426 h 1055849"/>
            <a:gd name="connsiteX416" fmla="*/ 186121 w 1063739"/>
            <a:gd name="connsiteY416" fmla="*/ 496322 h 1055849"/>
            <a:gd name="connsiteX417" fmla="*/ 178822 w 1063739"/>
            <a:gd name="connsiteY417" fmla="*/ 514569 h 1055849"/>
            <a:gd name="connsiteX418" fmla="*/ 164224 w 1063739"/>
            <a:gd name="connsiteY418" fmla="*/ 558363 h 1055849"/>
            <a:gd name="connsiteX419" fmla="*/ 160575 w 1063739"/>
            <a:gd name="connsiteY419" fmla="*/ 580259 h 1055849"/>
            <a:gd name="connsiteX420" fmla="*/ 153276 w 1063739"/>
            <a:gd name="connsiteY420" fmla="*/ 598506 h 1055849"/>
            <a:gd name="connsiteX421" fmla="*/ 145977 w 1063739"/>
            <a:gd name="connsiteY421" fmla="*/ 620403 h 1055849"/>
            <a:gd name="connsiteX422" fmla="*/ 142328 w 1063739"/>
            <a:gd name="connsiteY422" fmla="*/ 631351 h 1055849"/>
            <a:gd name="connsiteX423" fmla="*/ 138678 w 1063739"/>
            <a:gd name="connsiteY423" fmla="*/ 645949 h 1055849"/>
            <a:gd name="connsiteX424" fmla="*/ 131380 w 1063739"/>
            <a:gd name="connsiteY424" fmla="*/ 667845 h 1055849"/>
            <a:gd name="connsiteX425" fmla="*/ 127730 w 1063739"/>
            <a:gd name="connsiteY425" fmla="*/ 689742 h 1055849"/>
            <a:gd name="connsiteX426" fmla="*/ 113132 w 1063739"/>
            <a:gd name="connsiteY426" fmla="*/ 733535 h 1055849"/>
            <a:gd name="connsiteX427" fmla="*/ 109483 w 1063739"/>
            <a:gd name="connsiteY427" fmla="*/ 759081 h 1055849"/>
            <a:gd name="connsiteX428" fmla="*/ 102184 w 1063739"/>
            <a:gd name="connsiteY428" fmla="*/ 777328 h 1055849"/>
            <a:gd name="connsiteX429" fmla="*/ 87586 w 1063739"/>
            <a:gd name="connsiteY429" fmla="*/ 846667 h 1055849"/>
            <a:gd name="connsiteX430" fmla="*/ 80288 w 1063739"/>
            <a:gd name="connsiteY430" fmla="*/ 875863 h 1055849"/>
            <a:gd name="connsiteX431" fmla="*/ 72989 w 1063739"/>
            <a:gd name="connsiteY431" fmla="*/ 886811 h 1055849"/>
            <a:gd name="connsiteX432" fmla="*/ 65690 w 1063739"/>
            <a:gd name="connsiteY432" fmla="*/ 908707 h 1055849"/>
            <a:gd name="connsiteX433" fmla="*/ 62041 w 1063739"/>
            <a:gd name="connsiteY433" fmla="*/ 890460 h 1055849"/>
            <a:gd name="connsiteX434" fmla="*/ 58391 w 1063739"/>
            <a:gd name="connsiteY434" fmla="*/ 850317 h 1055849"/>
            <a:gd name="connsiteX435" fmla="*/ 54742 w 1063739"/>
            <a:gd name="connsiteY435" fmla="*/ 821121 h 1055849"/>
            <a:gd name="connsiteX436" fmla="*/ 62041 w 1063739"/>
            <a:gd name="connsiteY436" fmla="*/ 693391 h 1055849"/>
            <a:gd name="connsiteX437" fmla="*/ 83937 w 1063739"/>
            <a:gd name="connsiteY437" fmla="*/ 591207 h 1055849"/>
            <a:gd name="connsiteX438" fmla="*/ 113132 w 1063739"/>
            <a:gd name="connsiteY438" fmla="*/ 496322 h 1055849"/>
            <a:gd name="connsiteX439" fmla="*/ 156926 w 1063739"/>
            <a:gd name="connsiteY439" fmla="*/ 397788 h 1055849"/>
            <a:gd name="connsiteX440" fmla="*/ 193420 w 1063739"/>
            <a:gd name="connsiteY440" fmla="*/ 313851 h 1055849"/>
            <a:gd name="connsiteX441" fmla="*/ 208018 w 1063739"/>
            <a:gd name="connsiteY441" fmla="*/ 277357 h 1055849"/>
            <a:gd name="connsiteX442" fmla="*/ 226265 w 1063739"/>
            <a:gd name="connsiteY442" fmla="*/ 251811 h 1055849"/>
            <a:gd name="connsiteX443" fmla="*/ 259109 w 1063739"/>
            <a:gd name="connsiteY443" fmla="*/ 197069 h 1055849"/>
            <a:gd name="connsiteX444" fmla="*/ 281006 w 1063739"/>
            <a:gd name="connsiteY444" fmla="*/ 171523 h 1055849"/>
            <a:gd name="connsiteX445" fmla="*/ 353995 w 1063739"/>
            <a:gd name="connsiteY445" fmla="*/ 62041 h 1055849"/>
            <a:gd name="connsiteX446" fmla="*/ 386839 w 1063739"/>
            <a:gd name="connsiteY446" fmla="*/ 29196 h 1055849"/>
            <a:gd name="connsiteX447" fmla="*/ 397788 w 1063739"/>
            <a:gd name="connsiteY447" fmla="*/ 25546 h 1055849"/>
            <a:gd name="connsiteX448" fmla="*/ 547414 w 1063739"/>
            <a:gd name="connsiteY448" fmla="*/ 32845 h 1055849"/>
            <a:gd name="connsiteX449" fmla="*/ 558362 w 1063739"/>
            <a:gd name="connsiteY449" fmla="*/ 40144 h 1055849"/>
            <a:gd name="connsiteX450" fmla="*/ 569311 w 1063739"/>
            <a:gd name="connsiteY450" fmla="*/ 43794 h 1055849"/>
            <a:gd name="connsiteX451" fmla="*/ 576609 w 1063739"/>
            <a:gd name="connsiteY451" fmla="*/ 54742 h 1055849"/>
            <a:gd name="connsiteX452" fmla="*/ 598506 w 1063739"/>
            <a:gd name="connsiteY452" fmla="*/ 80288 h 1055849"/>
            <a:gd name="connsiteX453" fmla="*/ 631351 w 1063739"/>
            <a:gd name="connsiteY453" fmla="*/ 135029 h 1055849"/>
            <a:gd name="connsiteX454" fmla="*/ 642299 w 1063739"/>
            <a:gd name="connsiteY454" fmla="*/ 153276 h 1055849"/>
            <a:gd name="connsiteX455" fmla="*/ 653247 w 1063739"/>
            <a:gd name="connsiteY455" fmla="*/ 167874 h 1055849"/>
            <a:gd name="connsiteX456" fmla="*/ 656897 w 1063739"/>
            <a:gd name="connsiteY456" fmla="*/ 182472 h 1055849"/>
            <a:gd name="connsiteX457" fmla="*/ 664196 w 1063739"/>
            <a:gd name="connsiteY457" fmla="*/ 193420 h 1055849"/>
            <a:gd name="connsiteX458" fmla="*/ 682443 w 1063739"/>
            <a:gd name="connsiteY458" fmla="*/ 229914 h 1055849"/>
            <a:gd name="connsiteX459" fmla="*/ 722586 w 1063739"/>
            <a:gd name="connsiteY459" fmla="*/ 310202 h 1055849"/>
            <a:gd name="connsiteX460" fmla="*/ 737184 w 1063739"/>
            <a:gd name="connsiteY460" fmla="*/ 339397 h 1055849"/>
            <a:gd name="connsiteX461" fmla="*/ 755431 w 1063739"/>
            <a:gd name="connsiteY461" fmla="*/ 368592 h 1055849"/>
            <a:gd name="connsiteX462" fmla="*/ 766380 w 1063739"/>
            <a:gd name="connsiteY462" fmla="*/ 394138 h 1055849"/>
            <a:gd name="connsiteX463" fmla="*/ 780977 w 1063739"/>
            <a:gd name="connsiteY463" fmla="*/ 419684 h 1055849"/>
            <a:gd name="connsiteX464" fmla="*/ 832069 w 1063739"/>
            <a:gd name="connsiteY464" fmla="*/ 525518 h 1055849"/>
            <a:gd name="connsiteX465" fmla="*/ 846667 w 1063739"/>
            <a:gd name="connsiteY465" fmla="*/ 554713 h 1055849"/>
            <a:gd name="connsiteX466" fmla="*/ 857615 w 1063739"/>
            <a:gd name="connsiteY466" fmla="*/ 583909 h 1055849"/>
            <a:gd name="connsiteX467" fmla="*/ 868564 w 1063739"/>
            <a:gd name="connsiteY467" fmla="*/ 609454 h 1055849"/>
            <a:gd name="connsiteX468" fmla="*/ 890460 w 1063739"/>
            <a:gd name="connsiteY468" fmla="*/ 671495 h 1055849"/>
            <a:gd name="connsiteX469" fmla="*/ 905058 w 1063739"/>
            <a:gd name="connsiteY469" fmla="*/ 726236 h 1055849"/>
            <a:gd name="connsiteX470" fmla="*/ 912357 w 1063739"/>
            <a:gd name="connsiteY470" fmla="*/ 744483 h 1055849"/>
            <a:gd name="connsiteX471" fmla="*/ 919655 w 1063739"/>
            <a:gd name="connsiteY471" fmla="*/ 766380 h 1055849"/>
            <a:gd name="connsiteX472" fmla="*/ 926954 w 1063739"/>
            <a:gd name="connsiteY472" fmla="*/ 780977 h 1055849"/>
            <a:gd name="connsiteX473" fmla="*/ 941552 w 1063739"/>
            <a:gd name="connsiteY473" fmla="*/ 813822 h 1055849"/>
            <a:gd name="connsiteX474" fmla="*/ 945201 w 1063739"/>
            <a:gd name="connsiteY474" fmla="*/ 835719 h 1055849"/>
            <a:gd name="connsiteX475" fmla="*/ 948851 w 1063739"/>
            <a:gd name="connsiteY475" fmla="*/ 850317 h 1055849"/>
            <a:gd name="connsiteX476" fmla="*/ 952500 w 1063739"/>
            <a:gd name="connsiteY476" fmla="*/ 872213 h 1055849"/>
            <a:gd name="connsiteX477" fmla="*/ 956150 w 1063739"/>
            <a:gd name="connsiteY477" fmla="*/ 897759 h 1055849"/>
            <a:gd name="connsiteX478" fmla="*/ 959799 w 1063739"/>
            <a:gd name="connsiteY478" fmla="*/ 908707 h 1055849"/>
            <a:gd name="connsiteX479" fmla="*/ 963449 w 1063739"/>
            <a:gd name="connsiteY479" fmla="*/ 930604 h 1055849"/>
            <a:gd name="connsiteX480" fmla="*/ 967098 w 1063739"/>
            <a:gd name="connsiteY480" fmla="*/ 941552 h 1055849"/>
            <a:gd name="connsiteX481" fmla="*/ 970747 w 1063739"/>
            <a:gd name="connsiteY481" fmla="*/ 956150 h 1055849"/>
            <a:gd name="connsiteX482" fmla="*/ 974397 w 1063739"/>
            <a:gd name="connsiteY482" fmla="*/ 967098 h 1055849"/>
            <a:gd name="connsiteX483" fmla="*/ 981696 w 1063739"/>
            <a:gd name="connsiteY483" fmla="*/ 996294 h 1055849"/>
            <a:gd name="connsiteX484" fmla="*/ 981696 w 1063739"/>
            <a:gd name="connsiteY484" fmla="*/ 1047386 h 1055849"/>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 ang="0">
              <a:pos x="connsiteX49" y="connsiteY49"/>
            </a:cxn>
            <a:cxn ang="0">
              <a:pos x="connsiteX50" y="connsiteY50"/>
            </a:cxn>
            <a:cxn ang="0">
              <a:pos x="connsiteX51" y="connsiteY51"/>
            </a:cxn>
            <a:cxn ang="0">
              <a:pos x="connsiteX52" y="connsiteY52"/>
            </a:cxn>
            <a:cxn ang="0">
              <a:pos x="connsiteX53" y="connsiteY53"/>
            </a:cxn>
            <a:cxn ang="0">
              <a:pos x="connsiteX54" y="connsiteY54"/>
            </a:cxn>
            <a:cxn ang="0">
              <a:pos x="connsiteX55" y="connsiteY55"/>
            </a:cxn>
            <a:cxn ang="0">
              <a:pos x="connsiteX56" y="connsiteY56"/>
            </a:cxn>
            <a:cxn ang="0">
              <a:pos x="connsiteX57" y="connsiteY57"/>
            </a:cxn>
            <a:cxn ang="0">
              <a:pos x="connsiteX58" y="connsiteY58"/>
            </a:cxn>
            <a:cxn ang="0">
              <a:pos x="connsiteX59" y="connsiteY59"/>
            </a:cxn>
            <a:cxn ang="0">
              <a:pos x="connsiteX60" y="connsiteY60"/>
            </a:cxn>
            <a:cxn ang="0">
              <a:pos x="connsiteX61" y="connsiteY61"/>
            </a:cxn>
            <a:cxn ang="0">
              <a:pos x="connsiteX62" y="connsiteY62"/>
            </a:cxn>
            <a:cxn ang="0">
              <a:pos x="connsiteX63" y="connsiteY63"/>
            </a:cxn>
            <a:cxn ang="0">
              <a:pos x="connsiteX64" y="connsiteY64"/>
            </a:cxn>
            <a:cxn ang="0">
              <a:pos x="connsiteX65" y="connsiteY65"/>
            </a:cxn>
            <a:cxn ang="0">
              <a:pos x="connsiteX66" y="connsiteY66"/>
            </a:cxn>
            <a:cxn ang="0">
              <a:pos x="connsiteX67" y="connsiteY67"/>
            </a:cxn>
            <a:cxn ang="0">
              <a:pos x="connsiteX68" y="connsiteY68"/>
            </a:cxn>
            <a:cxn ang="0">
              <a:pos x="connsiteX69" y="connsiteY69"/>
            </a:cxn>
            <a:cxn ang="0">
              <a:pos x="connsiteX70" y="connsiteY70"/>
            </a:cxn>
            <a:cxn ang="0">
              <a:pos x="connsiteX71" y="connsiteY71"/>
            </a:cxn>
            <a:cxn ang="0">
              <a:pos x="connsiteX72" y="connsiteY72"/>
            </a:cxn>
            <a:cxn ang="0">
              <a:pos x="connsiteX73" y="connsiteY73"/>
            </a:cxn>
            <a:cxn ang="0">
              <a:pos x="connsiteX74" y="connsiteY74"/>
            </a:cxn>
            <a:cxn ang="0">
              <a:pos x="connsiteX75" y="connsiteY75"/>
            </a:cxn>
            <a:cxn ang="0">
              <a:pos x="connsiteX76" y="connsiteY76"/>
            </a:cxn>
            <a:cxn ang="0">
              <a:pos x="connsiteX77" y="connsiteY77"/>
            </a:cxn>
            <a:cxn ang="0">
              <a:pos x="connsiteX78" y="connsiteY78"/>
            </a:cxn>
            <a:cxn ang="0">
              <a:pos x="connsiteX79" y="connsiteY79"/>
            </a:cxn>
            <a:cxn ang="0">
              <a:pos x="connsiteX80" y="connsiteY80"/>
            </a:cxn>
            <a:cxn ang="0">
              <a:pos x="connsiteX81" y="connsiteY81"/>
            </a:cxn>
            <a:cxn ang="0">
              <a:pos x="connsiteX82" y="connsiteY82"/>
            </a:cxn>
            <a:cxn ang="0">
              <a:pos x="connsiteX83" y="connsiteY83"/>
            </a:cxn>
            <a:cxn ang="0">
              <a:pos x="connsiteX84" y="connsiteY84"/>
            </a:cxn>
            <a:cxn ang="0">
              <a:pos x="connsiteX85" y="connsiteY85"/>
            </a:cxn>
            <a:cxn ang="0">
              <a:pos x="connsiteX86" y="connsiteY86"/>
            </a:cxn>
            <a:cxn ang="0">
              <a:pos x="connsiteX87" y="connsiteY87"/>
            </a:cxn>
            <a:cxn ang="0">
              <a:pos x="connsiteX88" y="connsiteY88"/>
            </a:cxn>
            <a:cxn ang="0">
              <a:pos x="connsiteX89" y="connsiteY89"/>
            </a:cxn>
            <a:cxn ang="0">
              <a:pos x="connsiteX90" y="connsiteY90"/>
            </a:cxn>
            <a:cxn ang="0">
              <a:pos x="connsiteX91" y="connsiteY91"/>
            </a:cxn>
            <a:cxn ang="0">
              <a:pos x="connsiteX92" y="connsiteY92"/>
            </a:cxn>
            <a:cxn ang="0">
              <a:pos x="connsiteX93" y="connsiteY93"/>
            </a:cxn>
            <a:cxn ang="0">
              <a:pos x="connsiteX94" y="connsiteY94"/>
            </a:cxn>
            <a:cxn ang="0">
              <a:pos x="connsiteX95" y="connsiteY95"/>
            </a:cxn>
            <a:cxn ang="0">
              <a:pos x="connsiteX96" y="connsiteY96"/>
            </a:cxn>
            <a:cxn ang="0">
              <a:pos x="connsiteX97" y="connsiteY97"/>
            </a:cxn>
            <a:cxn ang="0">
              <a:pos x="connsiteX98" y="connsiteY98"/>
            </a:cxn>
            <a:cxn ang="0">
              <a:pos x="connsiteX99" y="connsiteY99"/>
            </a:cxn>
            <a:cxn ang="0">
              <a:pos x="connsiteX100" y="connsiteY100"/>
            </a:cxn>
            <a:cxn ang="0">
              <a:pos x="connsiteX101" y="connsiteY101"/>
            </a:cxn>
            <a:cxn ang="0">
              <a:pos x="connsiteX102" y="connsiteY102"/>
            </a:cxn>
            <a:cxn ang="0">
              <a:pos x="connsiteX103" y="connsiteY103"/>
            </a:cxn>
            <a:cxn ang="0">
              <a:pos x="connsiteX104" y="connsiteY104"/>
            </a:cxn>
            <a:cxn ang="0">
              <a:pos x="connsiteX105" y="connsiteY105"/>
            </a:cxn>
            <a:cxn ang="0">
              <a:pos x="connsiteX106" y="connsiteY106"/>
            </a:cxn>
            <a:cxn ang="0">
              <a:pos x="connsiteX107" y="connsiteY107"/>
            </a:cxn>
            <a:cxn ang="0">
              <a:pos x="connsiteX108" y="connsiteY108"/>
            </a:cxn>
            <a:cxn ang="0">
              <a:pos x="connsiteX109" y="connsiteY109"/>
            </a:cxn>
            <a:cxn ang="0">
              <a:pos x="connsiteX110" y="connsiteY110"/>
            </a:cxn>
            <a:cxn ang="0">
              <a:pos x="connsiteX111" y="connsiteY111"/>
            </a:cxn>
            <a:cxn ang="0">
              <a:pos x="connsiteX112" y="connsiteY112"/>
            </a:cxn>
            <a:cxn ang="0">
              <a:pos x="connsiteX113" y="connsiteY113"/>
            </a:cxn>
            <a:cxn ang="0">
              <a:pos x="connsiteX114" y="connsiteY114"/>
            </a:cxn>
            <a:cxn ang="0">
              <a:pos x="connsiteX115" y="connsiteY115"/>
            </a:cxn>
            <a:cxn ang="0">
              <a:pos x="connsiteX116" y="connsiteY116"/>
            </a:cxn>
            <a:cxn ang="0">
              <a:pos x="connsiteX117" y="connsiteY117"/>
            </a:cxn>
            <a:cxn ang="0">
              <a:pos x="connsiteX118" y="connsiteY118"/>
            </a:cxn>
            <a:cxn ang="0">
              <a:pos x="connsiteX119" y="connsiteY119"/>
            </a:cxn>
            <a:cxn ang="0">
              <a:pos x="connsiteX120" y="connsiteY120"/>
            </a:cxn>
            <a:cxn ang="0">
              <a:pos x="connsiteX121" y="connsiteY121"/>
            </a:cxn>
            <a:cxn ang="0">
              <a:pos x="connsiteX122" y="connsiteY122"/>
            </a:cxn>
            <a:cxn ang="0">
              <a:pos x="connsiteX123" y="connsiteY123"/>
            </a:cxn>
            <a:cxn ang="0">
              <a:pos x="connsiteX124" y="connsiteY124"/>
            </a:cxn>
            <a:cxn ang="0">
              <a:pos x="connsiteX125" y="connsiteY125"/>
            </a:cxn>
            <a:cxn ang="0">
              <a:pos x="connsiteX126" y="connsiteY126"/>
            </a:cxn>
            <a:cxn ang="0">
              <a:pos x="connsiteX127" y="connsiteY127"/>
            </a:cxn>
            <a:cxn ang="0">
              <a:pos x="connsiteX128" y="connsiteY128"/>
            </a:cxn>
            <a:cxn ang="0">
              <a:pos x="connsiteX129" y="connsiteY129"/>
            </a:cxn>
            <a:cxn ang="0">
              <a:pos x="connsiteX130" y="connsiteY130"/>
            </a:cxn>
            <a:cxn ang="0">
              <a:pos x="connsiteX131" y="connsiteY131"/>
            </a:cxn>
            <a:cxn ang="0">
              <a:pos x="connsiteX132" y="connsiteY132"/>
            </a:cxn>
            <a:cxn ang="0">
              <a:pos x="connsiteX133" y="connsiteY133"/>
            </a:cxn>
            <a:cxn ang="0">
              <a:pos x="connsiteX134" y="connsiteY134"/>
            </a:cxn>
            <a:cxn ang="0">
              <a:pos x="connsiteX135" y="connsiteY135"/>
            </a:cxn>
            <a:cxn ang="0">
              <a:pos x="connsiteX136" y="connsiteY136"/>
            </a:cxn>
            <a:cxn ang="0">
              <a:pos x="connsiteX137" y="connsiteY137"/>
            </a:cxn>
            <a:cxn ang="0">
              <a:pos x="connsiteX138" y="connsiteY138"/>
            </a:cxn>
            <a:cxn ang="0">
              <a:pos x="connsiteX139" y="connsiteY139"/>
            </a:cxn>
            <a:cxn ang="0">
              <a:pos x="connsiteX140" y="connsiteY140"/>
            </a:cxn>
            <a:cxn ang="0">
              <a:pos x="connsiteX141" y="connsiteY141"/>
            </a:cxn>
            <a:cxn ang="0">
              <a:pos x="connsiteX142" y="connsiteY142"/>
            </a:cxn>
            <a:cxn ang="0">
              <a:pos x="connsiteX143" y="connsiteY143"/>
            </a:cxn>
            <a:cxn ang="0">
              <a:pos x="connsiteX144" y="connsiteY144"/>
            </a:cxn>
            <a:cxn ang="0">
              <a:pos x="connsiteX145" y="connsiteY145"/>
            </a:cxn>
            <a:cxn ang="0">
              <a:pos x="connsiteX146" y="connsiteY146"/>
            </a:cxn>
            <a:cxn ang="0">
              <a:pos x="connsiteX147" y="connsiteY147"/>
            </a:cxn>
            <a:cxn ang="0">
              <a:pos x="connsiteX148" y="connsiteY148"/>
            </a:cxn>
            <a:cxn ang="0">
              <a:pos x="connsiteX149" y="connsiteY149"/>
            </a:cxn>
            <a:cxn ang="0">
              <a:pos x="connsiteX150" y="connsiteY150"/>
            </a:cxn>
            <a:cxn ang="0">
              <a:pos x="connsiteX151" y="connsiteY151"/>
            </a:cxn>
            <a:cxn ang="0">
              <a:pos x="connsiteX152" y="connsiteY152"/>
            </a:cxn>
            <a:cxn ang="0">
              <a:pos x="connsiteX153" y="connsiteY153"/>
            </a:cxn>
            <a:cxn ang="0">
              <a:pos x="connsiteX154" y="connsiteY154"/>
            </a:cxn>
            <a:cxn ang="0">
              <a:pos x="connsiteX155" y="connsiteY155"/>
            </a:cxn>
            <a:cxn ang="0">
              <a:pos x="connsiteX156" y="connsiteY156"/>
            </a:cxn>
            <a:cxn ang="0">
              <a:pos x="connsiteX157" y="connsiteY157"/>
            </a:cxn>
            <a:cxn ang="0">
              <a:pos x="connsiteX158" y="connsiteY158"/>
            </a:cxn>
            <a:cxn ang="0">
              <a:pos x="connsiteX159" y="connsiteY159"/>
            </a:cxn>
            <a:cxn ang="0">
              <a:pos x="connsiteX160" y="connsiteY160"/>
            </a:cxn>
            <a:cxn ang="0">
              <a:pos x="connsiteX161" y="connsiteY161"/>
            </a:cxn>
            <a:cxn ang="0">
              <a:pos x="connsiteX162" y="connsiteY162"/>
            </a:cxn>
            <a:cxn ang="0">
              <a:pos x="connsiteX163" y="connsiteY163"/>
            </a:cxn>
            <a:cxn ang="0">
              <a:pos x="connsiteX164" y="connsiteY164"/>
            </a:cxn>
            <a:cxn ang="0">
              <a:pos x="connsiteX165" y="connsiteY165"/>
            </a:cxn>
            <a:cxn ang="0">
              <a:pos x="connsiteX166" y="connsiteY166"/>
            </a:cxn>
            <a:cxn ang="0">
              <a:pos x="connsiteX167" y="connsiteY167"/>
            </a:cxn>
            <a:cxn ang="0">
              <a:pos x="connsiteX168" y="connsiteY168"/>
            </a:cxn>
            <a:cxn ang="0">
              <a:pos x="connsiteX169" y="connsiteY169"/>
            </a:cxn>
            <a:cxn ang="0">
              <a:pos x="connsiteX170" y="connsiteY170"/>
            </a:cxn>
            <a:cxn ang="0">
              <a:pos x="connsiteX171" y="connsiteY171"/>
            </a:cxn>
            <a:cxn ang="0">
              <a:pos x="connsiteX172" y="connsiteY172"/>
            </a:cxn>
            <a:cxn ang="0">
              <a:pos x="connsiteX173" y="connsiteY173"/>
            </a:cxn>
            <a:cxn ang="0">
              <a:pos x="connsiteX174" y="connsiteY174"/>
            </a:cxn>
            <a:cxn ang="0">
              <a:pos x="connsiteX175" y="connsiteY175"/>
            </a:cxn>
            <a:cxn ang="0">
              <a:pos x="connsiteX176" y="connsiteY176"/>
            </a:cxn>
            <a:cxn ang="0">
              <a:pos x="connsiteX177" y="connsiteY177"/>
            </a:cxn>
            <a:cxn ang="0">
              <a:pos x="connsiteX178" y="connsiteY178"/>
            </a:cxn>
            <a:cxn ang="0">
              <a:pos x="connsiteX179" y="connsiteY179"/>
            </a:cxn>
            <a:cxn ang="0">
              <a:pos x="connsiteX180" y="connsiteY180"/>
            </a:cxn>
            <a:cxn ang="0">
              <a:pos x="connsiteX181" y="connsiteY181"/>
            </a:cxn>
            <a:cxn ang="0">
              <a:pos x="connsiteX182" y="connsiteY182"/>
            </a:cxn>
            <a:cxn ang="0">
              <a:pos x="connsiteX183" y="connsiteY183"/>
            </a:cxn>
            <a:cxn ang="0">
              <a:pos x="connsiteX184" y="connsiteY184"/>
            </a:cxn>
            <a:cxn ang="0">
              <a:pos x="connsiteX185" y="connsiteY185"/>
            </a:cxn>
            <a:cxn ang="0">
              <a:pos x="connsiteX186" y="connsiteY186"/>
            </a:cxn>
            <a:cxn ang="0">
              <a:pos x="connsiteX187" y="connsiteY187"/>
            </a:cxn>
            <a:cxn ang="0">
              <a:pos x="connsiteX188" y="connsiteY188"/>
            </a:cxn>
            <a:cxn ang="0">
              <a:pos x="connsiteX189" y="connsiteY189"/>
            </a:cxn>
            <a:cxn ang="0">
              <a:pos x="connsiteX190" y="connsiteY190"/>
            </a:cxn>
            <a:cxn ang="0">
              <a:pos x="connsiteX191" y="connsiteY191"/>
            </a:cxn>
            <a:cxn ang="0">
              <a:pos x="connsiteX192" y="connsiteY192"/>
            </a:cxn>
            <a:cxn ang="0">
              <a:pos x="connsiteX193" y="connsiteY193"/>
            </a:cxn>
            <a:cxn ang="0">
              <a:pos x="connsiteX194" y="connsiteY194"/>
            </a:cxn>
            <a:cxn ang="0">
              <a:pos x="connsiteX195" y="connsiteY195"/>
            </a:cxn>
            <a:cxn ang="0">
              <a:pos x="connsiteX196" y="connsiteY196"/>
            </a:cxn>
            <a:cxn ang="0">
              <a:pos x="connsiteX197" y="connsiteY197"/>
            </a:cxn>
            <a:cxn ang="0">
              <a:pos x="connsiteX198" y="connsiteY198"/>
            </a:cxn>
            <a:cxn ang="0">
              <a:pos x="connsiteX199" y="connsiteY199"/>
            </a:cxn>
            <a:cxn ang="0">
              <a:pos x="connsiteX200" y="connsiteY200"/>
            </a:cxn>
            <a:cxn ang="0">
              <a:pos x="connsiteX201" y="connsiteY201"/>
            </a:cxn>
            <a:cxn ang="0">
              <a:pos x="connsiteX202" y="connsiteY202"/>
            </a:cxn>
            <a:cxn ang="0">
              <a:pos x="connsiteX203" y="connsiteY203"/>
            </a:cxn>
            <a:cxn ang="0">
              <a:pos x="connsiteX204" y="connsiteY204"/>
            </a:cxn>
            <a:cxn ang="0">
              <a:pos x="connsiteX205" y="connsiteY205"/>
            </a:cxn>
            <a:cxn ang="0">
              <a:pos x="connsiteX206" y="connsiteY206"/>
            </a:cxn>
            <a:cxn ang="0">
              <a:pos x="connsiteX207" y="connsiteY207"/>
            </a:cxn>
            <a:cxn ang="0">
              <a:pos x="connsiteX208" y="connsiteY208"/>
            </a:cxn>
            <a:cxn ang="0">
              <a:pos x="connsiteX209" y="connsiteY209"/>
            </a:cxn>
            <a:cxn ang="0">
              <a:pos x="connsiteX210" y="connsiteY210"/>
            </a:cxn>
            <a:cxn ang="0">
              <a:pos x="connsiteX211" y="connsiteY211"/>
            </a:cxn>
            <a:cxn ang="0">
              <a:pos x="connsiteX212" y="connsiteY212"/>
            </a:cxn>
            <a:cxn ang="0">
              <a:pos x="connsiteX213" y="connsiteY213"/>
            </a:cxn>
            <a:cxn ang="0">
              <a:pos x="connsiteX214" y="connsiteY214"/>
            </a:cxn>
            <a:cxn ang="0">
              <a:pos x="connsiteX215" y="connsiteY215"/>
            </a:cxn>
            <a:cxn ang="0">
              <a:pos x="connsiteX216" y="connsiteY216"/>
            </a:cxn>
            <a:cxn ang="0">
              <a:pos x="connsiteX217" y="connsiteY217"/>
            </a:cxn>
            <a:cxn ang="0">
              <a:pos x="connsiteX218" y="connsiteY218"/>
            </a:cxn>
            <a:cxn ang="0">
              <a:pos x="connsiteX219" y="connsiteY219"/>
            </a:cxn>
            <a:cxn ang="0">
              <a:pos x="connsiteX220" y="connsiteY220"/>
            </a:cxn>
            <a:cxn ang="0">
              <a:pos x="connsiteX221" y="connsiteY221"/>
            </a:cxn>
            <a:cxn ang="0">
              <a:pos x="connsiteX222" y="connsiteY222"/>
            </a:cxn>
            <a:cxn ang="0">
              <a:pos x="connsiteX223" y="connsiteY223"/>
            </a:cxn>
            <a:cxn ang="0">
              <a:pos x="connsiteX224" y="connsiteY224"/>
            </a:cxn>
            <a:cxn ang="0">
              <a:pos x="connsiteX225" y="connsiteY225"/>
            </a:cxn>
            <a:cxn ang="0">
              <a:pos x="connsiteX226" y="connsiteY226"/>
            </a:cxn>
            <a:cxn ang="0">
              <a:pos x="connsiteX227" y="connsiteY227"/>
            </a:cxn>
            <a:cxn ang="0">
              <a:pos x="connsiteX228" y="connsiteY228"/>
            </a:cxn>
            <a:cxn ang="0">
              <a:pos x="connsiteX229" y="connsiteY229"/>
            </a:cxn>
            <a:cxn ang="0">
              <a:pos x="connsiteX230" y="connsiteY230"/>
            </a:cxn>
            <a:cxn ang="0">
              <a:pos x="connsiteX231" y="connsiteY231"/>
            </a:cxn>
            <a:cxn ang="0">
              <a:pos x="connsiteX232" y="connsiteY232"/>
            </a:cxn>
            <a:cxn ang="0">
              <a:pos x="connsiteX233" y="connsiteY233"/>
            </a:cxn>
            <a:cxn ang="0">
              <a:pos x="connsiteX234" y="connsiteY234"/>
            </a:cxn>
            <a:cxn ang="0">
              <a:pos x="connsiteX235" y="connsiteY235"/>
            </a:cxn>
            <a:cxn ang="0">
              <a:pos x="connsiteX236" y="connsiteY236"/>
            </a:cxn>
            <a:cxn ang="0">
              <a:pos x="connsiteX237" y="connsiteY237"/>
            </a:cxn>
            <a:cxn ang="0">
              <a:pos x="connsiteX238" y="connsiteY238"/>
            </a:cxn>
            <a:cxn ang="0">
              <a:pos x="connsiteX239" y="connsiteY239"/>
            </a:cxn>
            <a:cxn ang="0">
              <a:pos x="connsiteX240" y="connsiteY240"/>
            </a:cxn>
            <a:cxn ang="0">
              <a:pos x="connsiteX241" y="connsiteY241"/>
            </a:cxn>
            <a:cxn ang="0">
              <a:pos x="connsiteX242" y="connsiteY242"/>
            </a:cxn>
            <a:cxn ang="0">
              <a:pos x="connsiteX243" y="connsiteY243"/>
            </a:cxn>
            <a:cxn ang="0">
              <a:pos x="connsiteX244" y="connsiteY244"/>
            </a:cxn>
            <a:cxn ang="0">
              <a:pos x="connsiteX245" y="connsiteY245"/>
            </a:cxn>
            <a:cxn ang="0">
              <a:pos x="connsiteX246" y="connsiteY246"/>
            </a:cxn>
            <a:cxn ang="0">
              <a:pos x="connsiteX247" y="connsiteY247"/>
            </a:cxn>
            <a:cxn ang="0">
              <a:pos x="connsiteX248" y="connsiteY248"/>
            </a:cxn>
            <a:cxn ang="0">
              <a:pos x="connsiteX249" y="connsiteY249"/>
            </a:cxn>
            <a:cxn ang="0">
              <a:pos x="connsiteX250" y="connsiteY250"/>
            </a:cxn>
            <a:cxn ang="0">
              <a:pos x="connsiteX251" y="connsiteY251"/>
            </a:cxn>
            <a:cxn ang="0">
              <a:pos x="connsiteX252" y="connsiteY252"/>
            </a:cxn>
            <a:cxn ang="0">
              <a:pos x="connsiteX253" y="connsiteY253"/>
            </a:cxn>
            <a:cxn ang="0">
              <a:pos x="connsiteX254" y="connsiteY254"/>
            </a:cxn>
            <a:cxn ang="0">
              <a:pos x="connsiteX255" y="connsiteY255"/>
            </a:cxn>
            <a:cxn ang="0">
              <a:pos x="connsiteX256" y="connsiteY256"/>
            </a:cxn>
            <a:cxn ang="0">
              <a:pos x="connsiteX257" y="connsiteY257"/>
            </a:cxn>
            <a:cxn ang="0">
              <a:pos x="connsiteX258" y="connsiteY258"/>
            </a:cxn>
            <a:cxn ang="0">
              <a:pos x="connsiteX259" y="connsiteY259"/>
            </a:cxn>
            <a:cxn ang="0">
              <a:pos x="connsiteX260" y="connsiteY260"/>
            </a:cxn>
            <a:cxn ang="0">
              <a:pos x="connsiteX261" y="connsiteY261"/>
            </a:cxn>
            <a:cxn ang="0">
              <a:pos x="connsiteX262" y="connsiteY262"/>
            </a:cxn>
            <a:cxn ang="0">
              <a:pos x="connsiteX263" y="connsiteY263"/>
            </a:cxn>
            <a:cxn ang="0">
              <a:pos x="connsiteX264" y="connsiteY264"/>
            </a:cxn>
            <a:cxn ang="0">
              <a:pos x="connsiteX265" y="connsiteY265"/>
            </a:cxn>
            <a:cxn ang="0">
              <a:pos x="connsiteX266" y="connsiteY266"/>
            </a:cxn>
            <a:cxn ang="0">
              <a:pos x="connsiteX267" y="connsiteY267"/>
            </a:cxn>
            <a:cxn ang="0">
              <a:pos x="connsiteX268" y="connsiteY268"/>
            </a:cxn>
            <a:cxn ang="0">
              <a:pos x="connsiteX269" y="connsiteY269"/>
            </a:cxn>
            <a:cxn ang="0">
              <a:pos x="connsiteX270" y="connsiteY270"/>
            </a:cxn>
            <a:cxn ang="0">
              <a:pos x="connsiteX271" y="connsiteY271"/>
            </a:cxn>
            <a:cxn ang="0">
              <a:pos x="connsiteX272" y="connsiteY272"/>
            </a:cxn>
            <a:cxn ang="0">
              <a:pos x="connsiteX273" y="connsiteY273"/>
            </a:cxn>
            <a:cxn ang="0">
              <a:pos x="connsiteX274" y="connsiteY274"/>
            </a:cxn>
            <a:cxn ang="0">
              <a:pos x="connsiteX275" y="connsiteY275"/>
            </a:cxn>
            <a:cxn ang="0">
              <a:pos x="connsiteX276" y="connsiteY276"/>
            </a:cxn>
            <a:cxn ang="0">
              <a:pos x="connsiteX277" y="connsiteY277"/>
            </a:cxn>
            <a:cxn ang="0">
              <a:pos x="connsiteX278" y="connsiteY278"/>
            </a:cxn>
            <a:cxn ang="0">
              <a:pos x="connsiteX279" y="connsiteY279"/>
            </a:cxn>
            <a:cxn ang="0">
              <a:pos x="connsiteX280" y="connsiteY280"/>
            </a:cxn>
            <a:cxn ang="0">
              <a:pos x="connsiteX281" y="connsiteY281"/>
            </a:cxn>
            <a:cxn ang="0">
              <a:pos x="connsiteX282" y="connsiteY282"/>
            </a:cxn>
            <a:cxn ang="0">
              <a:pos x="connsiteX283" y="connsiteY283"/>
            </a:cxn>
            <a:cxn ang="0">
              <a:pos x="connsiteX284" y="connsiteY284"/>
            </a:cxn>
            <a:cxn ang="0">
              <a:pos x="connsiteX285" y="connsiteY285"/>
            </a:cxn>
            <a:cxn ang="0">
              <a:pos x="connsiteX286" y="connsiteY286"/>
            </a:cxn>
            <a:cxn ang="0">
              <a:pos x="connsiteX287" y="connsiteY287"/>
            </a:cxn>
            <a:cxn ang="0">
              <a:pos x="connsiteX288" y="connsiteY288"/>
            </a:cxn>
            <a:cxn ang="0">
              <a:pos x="connsiteX289" y="connsiteY289"/>
            </a:cxn>
            <a:cxn ang="0">
              <a:pos x="connsiteX290" y="connsiteY290"/>
            </a:cxn>
            <a:cxn ang="0">
              <a:pos x="connsiteX291" y="connsiteY291"/>
            </a:cxn>
            <a:cxn ang="0">
              <a:pos x="connsiteX292" y="connsiteY292"/>
            </a:cxn>
            <a:cxn ang="0">
              <a:pos x="connsiteX293" y="connsiteY293"/>
            </a:cxn>
            <a:cxn ang="0">
              <a:pos x="connsiteX294" y="connsiteY294"/>
            </a:cxn>
            <a:cxn ang="0">
              <a:pos x="connsiteX295" y="connsiteY295"/>
            </a:cxn>
            <a:cxn ang="0">
              <a:pos x="connsiteX296" y="connsiteY296"/>
            </a:cxn>
            <a:cxn ang="0">
              <a:pos x="connsiteX297" y="connsiteY297"/>
            </a:cxn>
            <a:cxn ang="0">
              <a:pos x="connsiteX298" y="connsiteY298"/>
            </a:cxn>
            <a:cxn ang="0">
              <a:pos x="connsiteX299" y="connsiteY299"/>
            </a:cxn>
            <a:cxn ang="0">
              <a:pos x="connsiteX300" y="connsiteY300"/>
            </a:cxn>
            <a:cxn ang="0">
              <a:pos x="connsiteX301" y="connsiteY301"/>
            </a:cxn>
            <a:cxn ang="0">
              <a:pos x="connsiteX302" y="connsiteY302"/>
            </a:cxn>
            <a:cxn ang="0">
              <a:pos x="connsiteX303" y="connsiteY303"/>
            </a:cxn>
            <a:cxn ang="0">
              <a:pos x="connsiteX304" y="connsiteY304"/>
            </a:cxn>
            <a:cxn ang="0">
              <a:pos x="connsiteX305" y="connsiteY305"/>
            </a:cxn>
            <a:cxn ang="0">
              <a:pos x="connsiteX306" y="connsiteY306"/>
            </a:cxn>
            <a:cxn ang="0">
              <a:pos x="connsiteX307" y="connsiteY307"/>
            </a:cxn>
            <a:cxn ang="0">
              <a:pos x="connsiteX308" y="connsiteY308"/>
            </a:cxn>
            <a:cxn ang="0">
              <a:pos x="connsiteX309" y="connsiteY309"/>
            </a:cxn>
            <a:cxn ang="0">
              <a:pos x="connsiteX310" y="connsiteY310"/>
            </a:cxn>
            <a:cxn ang="0">
              <a:pos x="connsiteX311" y="connsiteY311"/>
            </a:cxn>
            <a:cxn ang="0">
              <a:pos x="connsiteX312" y="connsiteY312"/>
            </a:cxn>
            <a:cxn ang="0">
              <a:pos x="connsiteX313" y="connsiteY313"/>
            </a:cxn>
            <a:cxn ang="0">
              <a:pos x="connsiteX314" y="connsiteY314"/>
            </a:cxn>
            <a:cxn ang="0">
              <a:pos x="connsiteX315" y="connsiteY315"/>
            </a:cxn>
            <a:cxn ang="0">
              <a:pos x="connsiteX316" y="connsiteY316"/>
            </a:cxn>
            <a:cxn ang="0">
              <a:pos x="connsiteX317" y="connsiteY317"/>
            </a:cxn>
            <a:cxn ang="0">
              <a:pos x="connsiteX318" y="connsiteY318"/>
            </a:cxn>
            <a:cxn ang="0">
              <a:pos x="connsiteX319" y="connsiteY319"/>
            </a:cxn>
            <a:cxn ang="0">
              <a:pos x="connsiteX320" y="connsiteY320"/>
            </a:cxn>
            <a:cxn ang="0">
              <a:pos x="connsiteX321" y="connsiteY321"/>
            </a:cxn>
            <a:cxn ang="0">
              <a:pos x="connsiteX322" y="connsiteY322"/>
            </a:cxn>
            <a:cxn ang="0">
              <a:pos x="connsiteX323" y="connsiteY323"/>
            </a:cxn>
            <a:cxn ang="0">
              <a:pos x="connsiteX324" y="connsiteY324"/>
            </a:cxn>
            <a:cxn ang="0">
              <a:pos x="connsiteX325" y="connsiteY325"/>
            </a:cxn>
            <a:cxn ang="0">
              <a:pos x="connsiteX326" y="connsiteY326"/>
            </a:cxn>
            <a:cxn ang="0">
              <a:pos x="connsiteX327" y="connsiteY327"/>
            </a:cxn>
            <a:cxn ang="0">
              <a:pos x="connsiteX328" y="connsiteY328"/>
            </a:cxn>
            <a:cxn ang="0">
              <a:pos x="connsiteX329" y="connsiteY329"/>
            </a:cxn>
            <a:cxn ang="0">
              <a:pos x="connsiteX330" y="connsiteY330"/>
            </a:cxn>
            <a:cxn ang="0">
              <a:pos x="connsiteX331" y="connsiteY331"/>
            </a:cxn>
            <a:cxn ang="0">
              <a:pos x="connsiteX332" y="connsiteY332"/>
            </a:cxn>
            <a:cxn ang="0">
              <a:pos x="connsiteX333" y="connsiteY333"/>
            </a:cxn>
            <a:cxn ang="0">
              <a:pos x="connsiteX334" y="connsiteY334"/>
            </a:cxn>
            <a:cxn ang="0">
              <a:pos x="connsiteX335" y="connsiteY335"/>
            </a:cxn>
            <a:cxn ang="0">
              <a:pos x="connsiteX336" y="connsiteY336"/>
            </a:cxn>
            <a:cxn ang="0">
              <a:pos x="connsiteX337" y="connsiteY337"/>
            </a:cxn>
            <a:cxn ang="0">
              <a:pos x="connsiteX338" y="connsiteY338"/>
            </a:cxn>
            <a:cxn ang="0">
              <a:pos x="connsiteX339" y="connsiteY339"/>
            </a:cxn>
            <a:cxn ang="0">
              <a:pos x="connsiteX340" y="connsiteY340"/>
            </a:cxn>
            <a:cxn ang="0">
              <a:pos x="connsiteX341" y="connsiteY341"/>
            </a:cxn>
            <a:cxn ang="0">
              <a:pos x="connsiteX342" y="connsiteY342"/>
            </a:cxn>
            <a:cxn ang="0">
              <a:pos x="connsiteX343" y="connsiteY343"/>
            </a:cxn>
            <a:cxn ang="0">
              <a:pos x="connsiteX344" y="connsiteY344"/>
            </a:cxn>
            <a:cxn ang="0">
              <a:pos x="connsiteX345" y="connsiteY345"/>
            </a:cxn>
            <a:cxn ang="0">
              <a:pos x="connsiteX346" y="connsiteY346"/>
            </a:cxn>
            <a:cxn ang="0">
              <a:pos x="connsiteX347" y="connsiteY347"/>
            </a:cxn>
            <a:cxn ang="0">
              <a:pos x="connsiteX348" y="connsiteY348"/>
            </a:cxn>
            <a:cxn ang="0">
              <a:pos x="connsiteX349" y="connsiteY349"/>
            </a:cxn>
            <a:cxn ang="0">
              <a:pos x="connsiteX350" y="connsiteY350"/>
            </a:cxn>
            <a:cxn ang="0">
              <a:pos x="connsiteX351" y="connsiteY351"/>
            </a:cxn>
            <a:cxn ang="0">
              <a:pos x="connsiteX352" y="connsiteY352"/>
            </a:cxn>
            <a:cxn ang="0">
              <a:pos x="connsiteX353" y="connsiteY353"/>
            </a:cxn>
            <a:cxn ang="0">
              <a:pos x="connsiteX354" y="connsiteY354"/>
            </a:cxn>
            <a:cxn ang="0">
              <a:pos x="connsiteX355" y="connsiteY355"/>
            </a:cxn>
            <a:cxn ang="0">
              <a:pos x="connsiteX356" y="connsiteY356"/>
            </a:cxn>
            <a:cxn ang="0">
              <a:pos x="connsiteX357" y="connsiteY357"/>
            </a:cxn>
            <a:cxn ang="0">
              <a:pos x="connsiteX358" y="connsiteY358"/>
            </a:cxn>
            <a:cxn ang="0">
              <a:pos x="connsiteX359" y="connsiteY359"/>
            </a:cxn>
            <a:cxn ang="0">
              <a:pos x="connsiteX360" y="connsiteY360"/>
            </a:cxn>
            <a:cxn ang="0">
              <a:pos x="connsiteX361" y="connsiteY361"/>
            </a:cxn>
            <a:cxn ang="0">
              <a:pos x="connsiteX362" y="connsiteY362"/>
            </a:cxn>
            <a:cxn ang="0">
              <a:pos x="connsiteX363" y="connsiteY363"/>
            </a:cxn>
            <a:cxn ang="0">
              <a:pos x="connsiteX364" y="connsiteY364"/>
            </a:cxn>
            <a:cxn ang="0">
              <a:pos x="connsiteX365" y="connsiteY365"/>
            </a:cxn>
            <a:cxn ang="0">
              <a:pos x="connsiteX366" y="connsiteY366"/>
            </a:cxn>
            <a:cxn ang="0">
              <a:pos x="connsiteX367" y="connsiteY367"/>
            </a:cxn>
            <a:cxn ang="0">
              <a:pos x="connsiteX368" y="connsiteY368"/>
            </a:cxn>
            <a:cxn ang="0">
              <a:pos x="connsiteX369" y="connsiteY369"/>
            </a:cxn>
            <a:cxn ang="0">
              <a:pos x="connsiteX370" y="connsiteY370"/>
            </a:cxn>
            <a:cxn ang="0">
              <a:pos x="connsiteX371" y="connsiteY371"/>
            </a:cxn>
            <a:cxn ang="0">
              <a:pos x="connsiteX372" y="connsiteY372"/>
            </a:cxn>
            <a:cxn ang="0">
              <a:pos x="connsiteX373" y="connsiteY373"/>
            </a:cxn>
            <a:cxn ang="0">
              <a:pos x="connsiteX374" y="connsiteY374"/>
            </a:cxn>
            <a:cxn ang="0">
              <a:pos x="connsiteX375" y="connsiteY375"/>
            </a:cxn>
            <a:cxn ang="0">
              <a:pos x="connsiteX376" y="connsiteY376"/>
            </a:cxn>
            <a:cxn ang="0">
              <a:pos x="connsiteX377" y="connsiteY377"/>
            </a:cxn>
            <a:cxn ang="0">
              <a:pos x="connsiteX378" y="connsiteY378"/>
            </a:cxn>
            <a:cxn ang="0">
              <a:pos x="connsiteX379" y="connsiteY379"/>
            </a:cxn>
            <a:cxn ang="0">
              <a:pos x="connsiteX380" y="connsiteY380"/>
            </a:cxn>
            <a:cxn ang="0">
              <a:pos x="connsiteX381" y="connsiteY381"/>
            </a:cxn>
            <a:cxn ang="0">
              <a:pos x="connsiteX382" y="connsiteY382"/>
            </a:cxn>
            <a:cxn ang="0">
              <a:pos x="connsiteX383" y="connsiteY383"/>
            </a:cxn>
            <a:cxn ang="0">
              <a:pos x="connsiteX384" y="connsiteY384"/>
            </a:cxn>
            <a:cxn ang="0">
              <a:pos x="connsiteX385" y="connsiteY385"/>
            </a:cxn>
            <a:cxn ang="0">
              <a:pos x="connsiteX386" y="connsiteY386"/>
            </a:cxn>
            <a:cxn ang="0">
              <a:pos x="connsiteX387" y="connsiteY387"/>
            </a:cxn>
            <a:cxn ang="0">
              <a:pos x="connsiteX388" y="connsiteY388"/>
            </a:cxn>
            <a:cxn ang="0">
              <a:pos x="connsiteX389" y="connsiteY389"/>
            </a:cxn>
            <a:cxn ang="0">
              <a:pos x="connsiteX390" y="connsiteY390"/>
            </a:cxn>
            <a:cxn ang="0">
              <a:pos x="connsiteX391" y="connsiteY391"/>
            </a:cxn>
            <a:cxn ang="0">
              <a:pos x="connsiteX392" y="connsiteY392"/>
            </a:cxn>
            <a:cxn ang="0">
              <a:pos x="connsiteX393" y="connsiteY393"/>
            </a:cxn>
            <a:cxn ang="0">
              <a:pos x="connsiteX394" y="connsiteY394"/>
            </a:cxn>
            <a:cxn ang="0">
              <a:pos x="connsiteX395" y="connsiteY395"/>
            </a:cxn>
            <a:cxn ang="0">
              <a:pos x="connsiteX396" y="connsiteY396"/>
            </a:cxn>
            <a:cxn ang="0">
              <a:pos x="connsiteX397" y="connsiteY397"/>
            </a:cxn>
            <a:cxn ang="0">
              <a:pos x="connsiteX398" y="connsiteY398"/>
            </a:cxn>
            <a:cxn ang="0">
              <a:pos x="connsiteX399" y="connsiteY399"/>
            </a:cxn>
            <a:cxn ang="0">
              <a:pos x="connsiteX400" y="connsiteY400"/>
            </a:cxn>
            <a:cxn ang="0">
              <a:pos x="connsiteX401" y="connsiteY401"/>
            </a:cxn>
            <a:cxn ang="0">
              <a:pos x="connsiteX402" y="connsiteY402"/>
            </a:cxn>
            <a:cxn ang="0">
              <a:pos x="connsiteX403" y="connsiteY403"/>
            </a:cxn>
            <a:cxn ang="0">
              <a:pos x="connsiteX404" y="connsiteY404"/>
            </a:cxn>
            <a:cxn ang="0">
              <a:pos x="connsiteX405" y="connsiteY405"/>
            </a:cxn>
            <a:cxn ang="0">
              <a:pos x="connsiteX406" y="connsiteY406"/>
            </a:cxn>
            <a:cxn ang="0">
              <a:pos x="connsiteX407" y="connsiteY407"/>
            </a:cxn>
            <a:cxn ang="0">
              <a:pos x="connsiteX408" y="connsiteY408"/>
            </a:cxn>
            <a:cxn ang="0">
              <a:pos x="connsiteX409" y="connsiteY409"/>
            </a:cxn>
            <a:cxn ang="0">
              <a:pos x="connsiteX410" y="connsiteY410"/>
            </a:cxn>
            <a:cxn ang="0">
              <a:pos x="connsiteX411" y="connsiteY411"/>
            </a:cxn>
            <a:cxn ang="0">
              <a:pos x="connsiteX412" y="connsiteY412"/>
            </a:cxn>
            <a:cxn ang="0">
              <a:pos x="connsiteX413" y="connsiteY413"/>
            </a:cxn>
            <a:cxn ang="0">
              <a:pos x="connsiteX414" y="connsiteY414"/>
            </a:cxn>
            <a:cxn ang="0">
              <a:pos x="connsiteX415" y="connsiteY415"/>
            </a:cxn>
            <a:cxn ang="0">
              <a:pos x="connsiteX416" y="connsiteY416"/>
            </a:cxn>
            <a:cxn ang="0">
              <a:pos x="connsiteX417" y="connsiteY417"/>
            </a:cxn>
            <a:cxn ang="0">
              <a:pos x="connsiteX418" y="connsiteY418"/>
            </a:cxn>
            <a:cxn ang="0">
              <a:pos x="connsiteX419" y="connsiteY419"/>
            </a:cxn>
            <a:cxn ang="0">
              <a:pos x="connsiteX420" y="connsiteY420"/>
            </a:cxn>
            <a:cxn ang="0">
              <a:pos x="connsiteX421" y="connsiteY421"/>
            </a:cxn>
            <a:cxn ang="0">
              <a:pos x="connsiteX422" y="connsiteY422"/>
            </a:cxn>
            <a:cxn ang="0">
              <a:pos x="connsiteX423" y="connsiteY423"/>
            </a:cxn>
            <a:cxn ang="0">
              <a:pos x="connsiteX424" y="connsiteY424"/>
            </a:cxn>
            <a:cxn ang="0">
              <a:pos x="connsiteX425" y="connsiteY425"/>
            </a:cxn>
            <a:cxn ang="0">
              <a:pos x="connsiteX426" y="connsiteY426"/>
            </a:cxn>
            <a:cxn ang="0">
              <a:pos x="connsiteX427" y="connsiteY427"/>
            </a:cxn>
            <a:cxn ang="0">
              <a:pos x="connsiteX428" y="connsiteY428"/>
            </a:cxn>
            <a:cxn ang="0">
              <a:pos x="connsiteX429" y="connsiteY429"/>
            </a:cxn>
            <a:cxn ang="0">
              <a:pos x="connsiteX430" y="connsiteY430"/>
            </a:cxn>
            <a:cxn ang="0">
              <a:pos x="connsiteX431" y="connsiteY431"/>
            </a:cxn>
            <a:cxn ang="0">
              <a:pos x="connsiteX432" y="connsiteY432"/>
            </a:cxn>
            <a:cxn ang="0">
              <a:pos x="connsiteX433" y="connsiteY433"/>
            </a:cxn>
            <a:cxn ang="0">
              <a:pos x="connsiteX434" y="connsiteY434"/>
            </a:cxn>
            <a:cxn ang="0">
              <a:pos x="connsiteX435" y="connsiteY435"/>
            </a:cxn>
            <a:cxn ang="0">
              <a:pos x="connsiteX436" y="connsiteY436"/>
            </a:cxn>
            <a:cxn ang="0">
              <a:pos x="connsiteX437" y="connsiteY437"/>
            </a:cxn>
            <a:cxn ang="0">
              <a:pos x="connsiteX438" y="connsiteY438"/>
            </a:cxn>
            <a:cxn ang="0">
              <a:pos x="connsiteX439" y="connsiteY439"/>
            </a:cxn>
            <a:cxn ang="0">
              <a:pos x="connsiteX440" y="connsiteY440"/>
            </a:cxn>
            <a:cxn ang="0">
              <a:pos x="connsiteX441" y="connsiteY441"/>
            </a:cxn>
            <a:cxn ang="0">
              <a:pos x="connsiteX442" y="connsiteY442"/>
            </a:cxn>
            <a:cxn ang="0">
              <a:pos x="connsiteX443" y="connsiteY443"/>
            </a:cxn>
            <a:cxn ang="0">
              <a:pos x="connsiteX444" y="connsiteY444"/>
            </a:cxn>
            <a:cxn ang="0">
              <a:pos x="connsiteX445" y="connsiteY445"/>
            </a:cxn>
            <a:cxn ang="0">
              <a:pos x="connsiteX446" y="connsiteY446"/>
            </a:cxn>
            <a:cxn ang="0">
              <a:pos x="connsiteX447" y="connsiteY447"/>
            </a:cxn>
            <a:cxn ang="0">
              <a:pos x="connsiteX448" y="connsiteY448"/>
            </a:cxn>
            <a:cxn ang="0">
              <a:pos x="connsiteX449" y="connsiteY449"/>
            </a:cxn>
            <a:cxn ang="0">
              <a:pos x="connsiteX450" y="connsiteY450"/>
            </a:cxn>
            <a:cxn ang="0">
              <a:pos x="connsiteX451" y="connsiteY451"/>
            </a:cxn>
            <a:cxn ang="0">
              <a:pos x="connsiteX452" y="connsiteY452"/>
            </a:cxn>
            <a:cxn ang="0">
              <a:pos x="connsiteX453" y="connsiteY453"/>
            </a:cxn>
            <a:cxn ang="0">
              <a:pos x="connsiteX454" y="connsiteY454"/>
            </a:cxn>
            <a:cxn ang="0">
              <a:pos x="connsiteX455" y="connsiteY455"/>
            </a:cxn>
            <a:cxn ang="0">
              <a:pos x="connsiteX456" y="connsiteY456"/>
            </a:cxn>
            <a:cxn ang="0">
              <a:pos x="connsiteX457" y="connsiteY457"/>
            </a:cxn>
            <a:cxn ang="0">
              <a:pos x="connsiteX458" y="connsiteY458"/>
            </a:cxn>
            <a:cxn ang="0">
              <a:pos x="connsiteX459" y="connsiteY459"/>
            </a:cxn>
            <a:cxn ang="0">
              <a:pos x="connsiteX460" y="connsiteY460"/>
            </a:cxn>
            <a:cxn ang="0">
              <a:pos x="connsiteX461" y="connsiteY461"/>
            </a:cxn>
            <a:cxn ang="0">
              <a:pos x="connsiteX462" y="connsiteY462"/>
            </a:cxn>
            <a:cxn ang="0">
              <a:pos x="connsiteX463" y="connsiteY463"/>
            </a:cxn>
            <a:cxn ang="0">
              <a:pos x="connsiteX464" y="connsiteY464"/>
            </a:cxn>
            <a:cxn ang="0">
              <a:pos x="connsiteX465" y="connsiteY465"/>
            </a:cxn>
            <a:cxn ang="0">
              <a:pos x="connsiteX466" y="connsiteY466"/>
            </a:cxn>
            <a:cxn ang="0">
              <a:pos x="connsiteX467" y="connsiteY467"/>
            </a:cxn>
            <a:cxn ang="0">
              <a:pos x="connsiteX468" y="connsiteY468"/>
            </a:cxn>
            <a:cxn ang="0">
              <a:pos x="connsiteX469" y="connsiteY469"/>
            </a:cxn>
            <a:cxn ang="0">
              <a:pos x="connsiteX470" y="connsiteY470"/>
            </a:cxn>
            <a:cxn ang="0">
              <a:pos x="connsiteX471" y="connsiteY471"/>
            </a:cxn>
            <a:cxn ang="0">
              <a:pos x="connsiteX472" y="connsiteY472"/>
            </a:cxn>
            <a:cxn ang="0">
              <a:pos x="connsiteX473" y="connsiteY473"/>
            </a:cxn>
            <a:cxn ang="0">
              <a:pos x="connsiteX474" y="connsiteY474"/>
            </a:cxn>
            <a:cxn ang="0">
              <a:pos x="connsiteX475" y="connsiteY475"/>
            </a:cxn>
            <a:cxn ang="0">
              <a:pos x="connsiteX476" y="connsiteY476"/>
            </a:cxn>
            <a:cxn ang="0">
              <a:pos x="connsiteX477" y="connsiteY477"/>
            </a:cxn>
            <a:cxn ang="0">
              <a:pos x="connsiteX478" y="connsiteY478"/>
            </a:cxn>
            <a:cxn ang="0">
              <a:pos x="connsiteX479" y="connsiteY479"/>
            </a:cxn>
            <a:cxn ang="0">
              <a:pos x="connsiteX480" y="connsiteY480"/>
            </a:cxn>
            <a:cxn ang="0">
              <a:pos x="connsiteX481" y="connsiteY481"/>
            </a:cxn>
            <a:cxn ang="0">
              <a:pos x="connsiteX482" y="connsiteY482"/>
            </a:cxn>
            <a:cxn ang="0">
              <a:pos x="connsiteX483" y="connsiteY483"/>
            </a:cxn>
            <a:cxn ang="0">
              <a:pos x="connsiteX484" y="connsiteY484"/>
            </a:cxn>
          </a:cxnLst>
          <a:rect l="l" t="t" r="r" b="b"/>
          <a:pathLst>
            <a:path w="1063739" h="1055849">
              <a:moveTo>
                <a:pt x="481724" y="7299"/>
              </a:moveTo>
              <a:cubicBezTo>
                <a:pt x="487807" y="9732"/>
                <a:pt x="493757" y="12526"/>
                <a:pt x="499972" y="14598"/>
              </a:cubicBezTo>
              <a:cubicBezTo>
                <a:pt x="515052" y="19625"/>
                <a:pt x="539706" y="25444"/>
                <a:pt x="554713" y="29196"/>
              </a:cubicBezTo>
              <a:cubicBezTo>
                <a:pt x="558155" y="30057"/>
                <a:pt x="575971" y="34113"/>
                <a:pt x="580259" y="36495"/>
              </a:cubicBezTo>
              <a:cubicBezTo>
                <a:pt x="611183" y="53675"/>
                <a:pt x="592387" y="46377"/>
                <a:pt x="616753" y="62041"/>
              </a:cubicBezTo>
              <a:cubicBezTo>
                <a:pt x="628686" y="69712"/>
                <a:pt x="641082" y="76638"/>
                <a:pt x="653247" y="83937"/>
              </a:cubicBezTo>
              <a:cubicBezTo>
                <a:pt x="659330" y="87587"/>
                <a:pt x="666479" y="89870"/>
                <a:pt x="671495" y="94886"/>
              </a:cubicBezTo>
              <a:cubicBezTo>
                <a:pt x="686744" y="110135"/>
                <a:pt x="678314" y="102738"/>
                <a:pt x="697041" y="116782"/>
              </a:cubicBezTo>
              <a:cubicBezTo>
                <a:pt x="710064" y="136319"/>
                <a:pt x="701238" y="124629"/>
                <a:pt x="726236" y="149627"/>
              </a:cubicBezTo>
              <a:cubicBezTo>
                <a:pt x="729885" y="153276"/>
                <a:pt x="734321" y="156281"/>
                <a:pt x="737184" y="160575"/>
              </a:cubicBezTo>
              <a:cubicBezTo>
                <a:pt x="774076" y="215913"/>
                <a:pt x="734147" y="159121"/>
                <a:pt x="762730" y="193420"/>
              </a:cubicBezTo>
              <a:cubicBezTo>
                <a:pt x="765538" y="196789"/>
                <a:pt x="767730" y="200633"/>
                <a:pt x="770029" y="204368"/>
              </a:cubicBezTo>
              <a:cubicBezTo>
                <a:pt x="777464" y="216450"/>
                <a:pt x="784627" y="228698"/>
                <a:pt x="791926" y="240863"/>
              </a:cubicBezTo>
              <a:cubicBezTo>
                <a:pt x="795575" y="246945"/>
                <a:pt x="798618" y="253436"/>
                <a:pt x="802874" y="259110"/>
              </a:cubicBezTo>
              <a:cubicBezTo>
                <a:pt x="812043" y="271335"/>
                <a:pt x="817731" y="277876"/>
                <a:pt x="824770" y="291954"/>
              </a:cubicBezTo>
              <a:cubicBezTo>
                <a:pt x="827700" y="297814"/>
                <a:pt x="829408" y="304215"/>
                <a:pt x="832069" y="310202"/>
              </a:cubicBezTo>
              <a:cubicBezTo>
                <a:pt x="834278" y="315173"/>
                <a:pt x="837159" y="319828"/>
                <a:pt x="839368" y="324799"/>
              </a:cubicBezTo>
              <a:cubicBezTo>
                <a:pt x="842029" y="330785"/>
                <a:pt x="843737" y="337187"/>
                <a:pt x="846667" y="343046"/>
              </a:cubicBezTo>
              <a:cubicBezTo>
                <a:pt x="849839" y="349391"/>
                <a:pt x="854170" y="355093"/>
                <a:pt x="857615" y="361294"/>
              </a:cubicBezTo>
              <a:cubicBezTo>
                <a:pt x="860257" y="366049"/>
                <a:pt x="862481" y="371025"/>
                <a:pt x="864914" y="375891"/>
              </a:cubicBezTo>
              <a:cubicBezTo>
                <a:pt x="875938" y="431003"/>
                <a:pt x="861892" y="362288"/>
                <a:pt x="872213" y="408736"/>
              </a:cubicBezTo>
              <a:cubicBezTo>
                <a:pt x="873558" y="414791"/>
                <a:pt x="874080" y="421042"/>
                <a:pt x="875862" y="426983"/>
              </a:cubicBezTo>
              <a:cubicBezTo>
                <a:pt x="877744" y="433258"/>
                <a:pt x="880728" y="439148"/>
                <a:pt x="883161" y="445230"/>
              </a:cubicBezTo>
              <a:cubicBezTo>
                <a:pt x="884378" y="452529"/>
                <a:pt x="885171" y="459911"/>
                <a:pt x="886811" y="467127"/>
              </a:cubicBezTo>
              <a:cubicBezTo>
                <a:pt x="891257" y="486691"/>
                <a:pt x="898570" y="505657"/>
                <a:pt x="901408" y="525518"/>
              </a:cubicBezTo>
              <a:cubicBezTo>
                <a:pt x="906146" y="558680"/>
                <a:pt x="902338" y="542904"/>
                <a:pt x="912357" y="572960"/>
              </a:cubicBezTo>
              <a:cubicBezTo>
                <a:pt x="913573" y="580259"/>
                <a:pt x="914342" y="587647"/>
                <a:pt x="916006" y="594857"/>
              </a:cubicBezTo>
              <a:cubicBezTo>
                <a:pt x="925220" y="634786"/>
                <a:pt x="923659" y="608280"/>
                <a:pt x="930604" y="656897"/>
              </a:cubicBezTo>
              <a:cubicBezTo>
                <a:pt x="931820" y="665412"/>
                <a:pt x="933397" y="673884"/>
                <a:pt x="934253" y="682443"/>
              </a:cubicBezTo>
              <a:cubicBezTo>
                <a:pt x="935831" y="698225"/>
                <a:pt x="936050" y="714134"/>
                <a:pt x="937903" y="729886"/>
              </a:cubicBezTo>
              <a:cubicBezTo>
                <a:pt x="938489" y="734867"/>
                <a:pt x="940569" y="739565"/>
                <a:pt x="941552" y="744483"/>
              </a:cubicBezTo>
              <a:cubicBezTo>
                <a:pt x="945455" y="763998"/>
                <a:pt x="948851" y="792325"/>
                <a:pt x="948851" y="810173"/>
              </a:cubicBezTo>
              <a:cubicBezTo>
                <a:pt x="948851" y="819981"/>
                <a:pt x="947782" y="790439"/>
                <a:pt x="945201" y="780977"/>
              </a:cubicBezTo>
              <a:cubicBezTo>
                <a:pt x="944047" y="776746"/>
                <a:pt x="940336" y="773678"/>
                <a:pt x="937903" y="770029"/>
              </a:cubicBezTo>
              <a:cubicBezTo>
                <a:pt x="928704" y="733242"/>
                <a:pt x="942247" y="781383"/>
                <a:pt x="923305" y="737184"/>
              </a:cubicBezTo>
              <a:cubicBezTo>
                <a:pt x="918759" y="726577"/>
                <a:pt x="915446" y="715459"/>
                <a:pt x="912357" y="704340"/>
              </a:cubicBezTo>
              <a:cubicBezTo>
                <a:pt x="893844" y="637693"/>
                <a:pt x="915862" y="703851"/>
                <a:pt x="897759" y="642299"/>
              </a:cubicBezTo>
              <a:cubicBezTo>
                <a:pt x="894503" y="631227"/>
                <a:pt x="891972" y="619776"/>
                <a:pt x="886811" y="609454"/>
              </a:cubicBezTo>
              <a:cubicBezTo>
                <a:pt x="871813" y="579460"/>
                <a:pt x="865410" y="567446"/>
                <a:pt x="850316" y="525518"/>
              </a:cubicBezTo>
              <a:cubicBezTo>
                <a:pt x="839899" y="496582"/>
                <a:pt x="820478" y="441369"/>
                <a:pt x="806523" y="405087"/>
              </a:cubicBezTo>
              <a:cubicBezTo>
                <a:pt x="804171" y="398973"/>
                <a:pt x="803154" y="392081"/>
                <a:pt x="799224" y="386840"/>
              </a:cubicBezTo>
              <a:cubicBezTo>
                <a:pt x="788067" y="371963"/>
                <a:pt x="788264" y="374039"/>
                <a:pt x="780977" y="357644"/>
              </a:cubicBezTo>
              <a:cubicBezTo>
                <a:pt x="778316" y="351658"/>
                <a:pt x="776815" y="345148"/>
                <a:pt x="773678" y="339397"/>
              </a:cubicBezTo>
              <a:cubicBezTo>
                <a:pt x="769478" y="331696"/>
                <a:pt x="763678" y="324971"/>
                <a:pt x="759081" y="317500"/>
              </a:cubicBezTo>
              <a:cubicBezTo>
                <a:pt x="740527" y="287348"/>
                <a:pt x="747270" y="295355"/>
                <a:pt x="729885" y="262759"/>
              </a:cubicBezTo>
              <a:cubicBezTo>
                <a:pt x="725270" y="254105"/>
                <a:pt x="719464" y="246087"/>
                <a:pt x="715288" y="237213"/>
              </a:cubicBezTo>
              <a:cubicBezTo>
                <a:pt x="709709" y="225358"/>
                <a:pt x="706299" y="212560"/>
                <a:pt x="700690" y="200719"/>
              </a:cubicBezTo>
              <a:cubicBezTo>
                <a:pt x="686110" y="169938"/>
                <a:pt x="680615" y="167411"/>
                <a:pt x="664196" y="138679"/>
              </a:cubicBezTo>
              <a:cubicBezTo>
                <a:pt x="655421" y="123324"/>
                <a:pt x="654495" y="114380"/>
                <a:pt x="642299" y="102184"/>
              </a:cubicBezTo>
              <a:cubicBezTo>
                <a:pt x="639198" y="99083"/>
                <a:pt x="635662" y="95694"/>
                <a:pt x="631351" y="94886"/>
              </a:cubicBezTo>
              <a:cubicBezTo>
                <a:pt x="615762" y="91963"/>
                <a:pt x="599722" y="92453"/>
                <a:pt x="583908" y="91236"/>
              </a:cubicBezTo>
              <a:cubicBezTo>
                <a:pt x="574176" y="86370"/>
                <a:pt x="562407" y="84332"/>
                <a:pt x="554713" y="76638"/>
              </a:cubicBezTo>
              <a:cubicBezTo>
                <a:pt x="541045" y="62970"/>
                <a:pt x="548661" y="67322"/>
                <a:pt x="532816" y="62041"/>
              </a:cubicBezTo>
              <a:cubicBezTo>
                <a:pt x="529167" y="59608"/>
                <a:pt x="525676" y="56918"/>
                <a:pt x="521868" y="54742"/>
              </a:cubicBezTo>
              <a:cubicBezTo>
                <a:pt x="517144" y="52043"/>
                <a:pt x="511449" y="50926"/>
                <a:pt x="507270" y="47443"/>
              </a:cubicBezTo>
              <a:cubicBezTo>
                <a:pt x="503901" y="44635"/>
                <a:pt x="502405" y="40144"/>
                <a:pt x="499972" y="36495"/>
              </a:cubicBezTo>
              <a:cubicBezTo>
                <a:pt x="503621" y="34062"/>
                <a:pt x="506578" y="29816"/>
                <a:pt x="510920" y="29196"/>
              </a:cubicBezTo>
              <a:cubicBezTo>
                <a:pt x="518651" y="28091"/>
                <a:pt x="534204" y="37188"/>
                <a:pt x="540115" y="40144"/>
              </a:cubicBezTo>
              <a:cubicBezTo>
                <a:pt x="558281" y="64364"/>
                <a:pt x="542088" y="47308"/>
                <a:pt x="565661" y="62041"/>
              </a:cubicBezTo>
              <a:cubicBezTo>
                <a:pt x="570819" y="65265"/>
                <a:pt x="575198" y="69615"/>
                <a:pt x="580259" y="72989"/>
              </a:cubicBezTo>
              <a:cubicBezTo>
                <a:pt x="605619" y="89895"/>
                <a:pt x="617652" y="89624"/>
                <a:pt x="642299" y="120432"/>
              </a:cubicBezTo>
              <a:cubicBezTo>
                <a:pt x="679480" y="166907"/>
                <a:pt x="632385" y="109416"/>
                <a:pt x="675144" y="156926"/>
              </a:cubicBezTo>
              <a:cubicBezTo>
                <a:pt x="680355" y="162716"/>
                <a:pt x="684502" y="169409"/>
                <a:pt x="689742" y="175173"/>
              </a:cubicBezTo>
              <a:cubicBezTo>
                <a:pt x="696685" y="182811"/>
                <a:pt x="704971" y="189189"/>
                <a:pt x="711638" y="197069"/>
              </a:cubicBezTo>
              <a:cubicBezTo>
                <a:pt x="718397" y="205057"/>
                <a:pt x="723505" y="214321"/>
                <a:pt x="729885" y="222615"/>
              </a:cubicBezTo>
              <a:cubicBezTo>
                <a:pt x="735678" y="230146"/>
                <a:pt x="742724" y="236700"/>
                <a:pt x="748132" y="244512"/>
              </a:cubicBezTo>
              <a:cubicBezTo>
                <a:pt x="753715" y="252576"/>
                <a:pt x="757590" y="261705"/>
                <a:pt x="762730" y="270058"/>
              </a:cubicBezTo>
              <a:cubicBezTo>
                <a:pt x="770880" y="283301"/>
                <a:pt x="779276" y="292282"/>
                <a:pt x="784627" y="306552"/>
              </a:cubicBezTo>
              <a:cubicBezTo>
                <a:pt x="790030" y="320960"/>
                <a:pt x="794358" y="335747"/>
                <a:pt x="799224" y="350345"/>
              </a:cubicBezTo>
              <a:cubicBezTo>
                <a:pt x="801657" y="357644"/>
                <a:pt x="804657" y="364778"/>
                <a:pt x="806523" y="372242"/>
              </a:cubicBezTo>
              <a:cubicBezTo>
                <a:pt x="808956" y="381974"/>
                <a:pt x="810872" y="391849"/>
                <a:pt x="813822" y="401437"/>
              </a:cubicBezTo>
              <a:cubicBezTo>
                <a:pt x="820610" y="423497"/>
                <a:pt x="831192" y="444494"/>
                <a:pt x="835719" y="467127"/>
              </a:cubicBezTo>
              <a:cubicBezTo>
                <a:pt x="852133" y="549193"/>
                <a:pt x="832722" y="459985"/>
                <a:pt x="853966" y="536466"/>
              </a:cubicBezTo>
              <a:cubicBezTo>
                <a:pt x="858400" y="552427"/>
                <a:pt x="865212" y="590385"/>
                <a:pt x="868564" y="605805"/>
              </a:cubicBezTo>
              <a:cubicBezTo>
                <a:pt x="872012" y="621665"/>
                <a:pt x="876645" y="637273"/>
                <a:pt x="879512" y="653248"/>
              </a:cubicBezTo>
              <a:cubicBezTo>
                <a:pt x="885165" y="684745"/>
                <a:pt x="888211" y="716681"/>
                <a:pt x="894109" y="748133"/>
              </a:cubicBezTo>
              <a:cubicBezTo>
                <a:pt x="897759" y="767596"/>
                <a:pt x="901905" y="786973"/>
                <a:pt x="905058" y="806523"/>
              </a:cubicBezTo>
              <a:cubicBezTo>
                <a:pt x="922310" y="913481"/>
                <a:pt x="902745" y="811471"/>
                <a:pt x="919655" y="908707"/>
              </a:cubicBezTo>
              <a:cubicBezTo>
                <a:pt x="921781" y="920929"/>
                <a:pt x="932501" y="934106"/>
                <a:pt x="926954" y="945202"/>
              </a:cubicBezTo>
              <a:cubicBezTo>
                <a:pt x="923031" y="953048"/>
                <a:pt x="916092" y="931242"/>
                <a:pt x="912357" y="923305"/>
              </a:cubicBezTo>
              <a:cubicBezTo>
                <a:pt x="906294" y="910422"/>
                <a:pt x="902994" y="896402"/>
                <a:pt x="897759" y="883161"/>
              </a:cubicBezTo>
              <a:cubicBezTo>
                <a:pt x="882311" y="844087"/>
                <a:pt x="865921" y="805392"/>
                <a:pt x="850316" y="766380"/>
              </a:cubicBezTo>
              <a:cubicBezTo>
                <a:pt x="840991" y="743068"/>
                <a:pt x="815971" y="677190"/>
                <a:pt x="810173" y="656897"/>
              </a:cubicBezTo>
              <a:cubicBezTo>
                <a:pt x="805307" y="639866"/>
                <a:pt x="800083" y="622934"/>
                <a:pt x="795575" y="605805"/>
              </a:cubicBezTo>
              <a:cubicBezTo>
                <a:pt x="787916" y="576702"/>
                <a:pt x="780206" y="547596"/>
                <a:pt x="773678" y="518219"/>
              </a:cubicBezTo>
              <a:cubicBezTo>
                <a:pt x="771245" y="507271"/>
                <a:pt x="769798" y="496056"/>
                <a:pt x="766380" y="485374"/>
              </a:cubicBezTo>
              <a:cubicBezTo>
                <a:pt x="741817" y="408614"/>
                <a:pt x="748571" y="443475"/>
                <a:pt x="715288" y="368592"/>
              </a:cubicBezTo>
              <a:cubicBezTo>
                <a:pt x="710422" y="357644"/>
                <a:pt x="707040" y="345907"/>
                <a:pt x="700690" y="335748"/>
              </a:cubicBezTo>
              <a:cubicBezTo>
                <a:pt x="694746" y="326237"/>
                <a:pt x="685722" y="319021"/>
                <a:pt x="678793" y="310202"/>
              </a:cubicBezTo>
              <a:cubicBezTo>
                <a:pt x="672328" y="301974"/>
                <a:pt x="666971" y="292916"/>
                <a:pt x="660546" y="284656"/>
              </a:cubicBezTo>
              <a:cubicBezTo>
                <a:pt x="649931" y="271008"/>
                <a:pt x="635432" y="259977"/>
                <a:pt x="627701" y="244512"/>
              </a:cubicBezTo>
              <a:cubicBezTo>
                <a:pt x="624038" y="237184"/>
                <a:pt x="618909" y="225416"/>
                <a:pt x="613104" y="218966"/>
              </a:cubicBezTo>
              <a:cubicBezTo>
                <a:pt x="605048" y="210015"/>
                <a:pt x="596073" y="201935"/>
                <a:pt x="587558" y="193420"/>
              </a:cubicBezTo>
              <a:cubicBezTo>
                <a:pt x="583908" y="189771"/>
                <a:pt x="579264" y="186898"/>
                <a:pt x="576609" y="182472"/>
              </a:cubicBezTo>
              <a:cubicBezTo>
                <a:pt x="549189" y="136772"/>
                <a:pt x="582953" y="194103"/>
                <a:pt x="554713" y="142328"/>
              </a:cubicBezTo>
              <a:cubicBezTo>
                <a:pt x="540725" y="116682"/>
                <a:pt x="546095" y="132312"/>
                <a:pt x="536466" y="105834"/>
              </a:cubicBezTo>
              <a:cubicBezTo>
                <a:pt x="533837" y="98603"/>
                <a:pt x="531796" y="91168"/>
                <a:pt x="529167" y="83937"/>
              </a:cubicBezTo>
              <a:cubicBezTo>
                <a:pt x="526928" y="77781"/>
                <a:pt x="523940" y="71905"/>
                <a:pt x="521868" y="65690"/>
              </a:cubicBezTo>
              <a:cubicBezTo>
                <a:pt x="521055" y="63251"/>
                <a:pt x="516915" y="43662"/>
                <a:pt x="514569" y="40144"/>
              </a:cubicBezTo>
              <a:cubicBezTo>
                <a:pt x="511706" y="35850"/>
                <a:pt x="507695" y="32365"/>
                <a:pt x="503621" y="29196"/>
              </a:cubicBezTo>
              <a:cubicBezTo>
                <a:pt x="496697" y="23810"/>
                <a:pt x="489023" y="19464"/>
                <a:pt x="481724" y="14598"/>
              </a:cubicBezTo>
              <a:cubicBezTo>
                <a:pt x="478075" y="12165"/>
                <a:pt x="466615" y="5912"/>
                <a:pt x="470776" y="7299"/>
              </a:cubicBezTo>
              <a:cubicBezTo>
                <a:pt x="485885" y="12336"/>
                <a:pt x="478523" y="8815"/>
                <a:pt x="492673" y="18248"/>
              </a:cubicBezTo>
              <a:cubicBezTo>
                <a:pt x="545113" y="96909"/>
                <a:pt x="491483" y="24357"/>
                <a:pt x="529167" y="62041"/>
              </a:cubicBezTo>
              <a:cubicBezTo>
                <a:pt x="534675" y="67549"/>
                <a:pt x="538554" y="74498"/>
                <a:pt x="543765" y="80288"/>
              </a:cubicBezTo>
              <a:cubicBezTo>
                <a:pt x="549519" y="86682"/>
                <a:pt x="556276" y="92125"/>
                <a:pt x="562012" y="98535"/>
              </a:cubicBezTo>
              <a:cubicBezTo>
                <a:pt x="576969" y="115251"/>
                <a:pt x="591087" y="132701"/>
                <a:pt x="605805" y="149627"/>
              </a:cubicBezTo>
              <a:cubicBezTo>
                <a:pt x="632507" y="180335"/>
                <a:pt x="641616" y="187008"/>
                <a:pt x="664196" y="222615"/>
              </a:cubicBezTo>
              <a:cubicBezTo>
                <a:pt x="686988" y="258557"/>
                <a:pt x="707989" y="295604"/>
                <a:pt x="729885" y="332098"/>
              </a:cubicBezTo>
              <a:cubicBezTo>
                <a:pt x="740833" y="350345"/>
                <a:pt x="754500" y="367216"/>
                <a:pt x="762730" y="386840"/>
              </a:cubicBezTo>
              <a:cubicBezTo>
                <a:pt x="778544" y="424551"/>
                <a:pt x="791885" y="463397"/>
                <a:pt x="810173" y="499972"/>
              </a:cubicBezTo>
              <a:cubicBezTo>
                <a:pt x="834782" y="549191"/>
                <a:pt x="840864" y="557053"/>
                <a:pt x="857615" y="624052"/>
              </a:cubicBezTo>
              <a:cubicBezTo>
                <a:pt x="866603" y="660001"/>
                <a:pt x="878770" y="705716"/>
                <a:pt x="883161" y="740834"/>
              </a:cubicBezTo>
              <a:cubicBezTo>
                <a:pt x="887878" y="778564"/>
                <a:pt x="885424" y="760320"/>
                <a:pt x="890460" y="795575"/>
              </a:cubicBezTo>
              <a:cubicBezTo>
                <a:pt x="888948" y="837915"/>
                <a:pt x="890324" y="883980"/>
                <a:pt x="883161" y="926954"/>
              </a:cubicBezTo>
              <a:cubicBezTo>
                <a:pt x="880877" y="940660"/>
                <a:pt x="879336" y="940340"/>
                <a:pt x="875862" y="952500"/>
              </a:cubicBezTo>
              <a:cubicBezTo>
                <a:pt x="874484" y="957323"/>
                <a:pt x="873429" y="962232"/>
                <a:pt x="872213" y="967098"/>
              </a:cubicBezTo>
              <a:cubicBezTo>
                <a:pt x="867656" y="939756"/>
                <a:pt x="867175" y="933273"/>
                <a:pt x="857615" y="901409"/>
              </a:cubicBezTo>
              <a:cubicBezTo>
                <a:pt x="847334" y="867140"/>
                <a:pt x="839300" y="831919"/>
                <a:pt x="824770" y="799225"/>
              </a:cubicBezTo>
              <a:cubicBezTo>
                <a:pt x="802179" y="748393"/>
                <a:pt x="794321" y="733867"/>
                <a:pt x="777328" y="664196"/>
              </a:cubicBezTo>
              <a:cubicBezTo>
                <a:pt x="765163" y="614320"/>
                <a:pt x="752880" y="564473"/>
                <a:pt x="740834" y="514569"/>
              </a:cubicBezTo>
              <a:cubicBezTo>
                <a:pt x="735849" y="493917"/>
                <a:pt x="731221" y="473181"/>
                <a:pt x="726236" y="452529"/>
              </a:cubicBezTo>
              <a:cubicBezTo>
                <a:pt x="718157" y="419057"/>
                <a:pt x="716849" y="408731"/>
                <a:pt x="704339" y="379541"/>
              </a:cubicBezTo>
              <a:cubicBezTo>
                <a:pt x="697899" y="364515"/>
                <a:pt x="692900" y="354996"/>
                <a:pt x="682443" y="343046"/>
              </a:cubicBezTo>
              <a:cubicBezTo>
                <a:pt x="677912" y="337867"/>
                <a:pt x="672070" y="333881"/>
                <a:pt x="667845" y="328449"/>
              </a:cubicBezTo>
              <a:cubicBezTo>
                <a:pt x="663490" y="322850"/>
                <a:pt x="660750" y="316157"/>
                <a:pt x="656897" y="310202"/>
              </a:cubicBezTo>
              <a:cubicBezTo>
                <a:pt x="647366" y="295472"/>
                <a:pt x="637433" y="281007"/>
                <a:pt x="627701" y="266409"/>
              </a:cubicBezTo>
              <a:cubicBezTo>
                <a:pt x="627698" y="266404"/>
                <a:pt x="598510" y="222619"/>
                <a:pt x="598506" y="222615"/>
              </a:cubicBezTo>
              <a:cubicBezTo>
                <a:pt x="593640" y="217749"/>
                <a:pt x="588313" y="213304"/>
                <a:pt x="583908" y="208018"/>
              </a:cubicBezTo>
              <a:cubicBezTo>
                <a:pt x="542247" y="158025"/>
                <a:pt x="577685" y="194495"/>
                <a:pt x="551064" y="167874"/>
              </a:cubicBezTo>
              <a:cubicBezTo>
                <a:pt x="549847" y="164225"/>
                <a:pt x="549323" y="160266"/>
                <a:pt x="547414" y="156926"/>
              </a:cubicBezTo>
              <a:cubicBezTo>
                <a:pt x="542624" y="148543"/>
                <a:pt x="532915" y="137852"/>
                <a:pt x="525518" y="131380"/>
              </a:cubicBezTo>
              <a:cubicBezTo>
                <a:pt x="519656" y="126251"/>
                <a:pt x="512778" y="122290"/>
                <a:pt x="507270" y="116782"/>
              </a:cubicBezTo>
              <a:cubicBezTo>
                <a:pt x="504169" y="113681"/>
                <a:pt x="502521" y="109403"/>
                <a:pt x="499972" y="105834"/>
              </a:cubicBezTo>
              <a:cubicBezTo>
                <a:pt x="496437" y="100884"/>
                <a:pt x="493324" y="95537"/>
                <a:pt x="489023" y="91236"/>
              </a:cubicBezTo>
              <a:cubicBezTo>
                <a:pt x="485922" y="88135"/>
                <a:pt x="481724" y="86370"/>
                <a:pt x="478075" y="83937"/>
              </a:cubicBezTo>
              <a:cubicBezTo>
                <a:pt x="475642" y="80288"/>
                <a:pt x="468815" y="76912"/>
                <a:pt x="470776" y="72989"/>
              </a:cubicBezTo>
              <a:cubicBezTo>
                <a:pt x="472496" y="69548"/>
                <a:pt x="478283" y="74918"/>
                <a:pt x="481724" y="76638"/>
              </a:cubicBezTo>
              <a:cubicBezTo>
                <a:pt x="485647" y="78600"/>
                <a:pt x="489023" y="81504"/>
                <a:pt x="492673" y="83937"/>
              </a:cubicBezTo>
              <a:cubicBezTo>
                <a:pt x="497539" y="91236"/>
                <a:pt x="503347" y="97988"/>
                <a:pt x="507270" y="105834"/>
              </a:cubicBezTo>
              <a:cubicBezTo>
                <a:pt x="512136" y="115566"/>
                <a:pt x="515340" y="126325"/>
                <a:pt x="521868" y="135029"/>
              </a:cubicBezTo>
              <a:cubicBezTo>
                <a:pt x="525517" y="139895"/>
                <a:pt x="528949" y="144932"/>
                <a:pt x="532816" y="149627"/>
              </a:cubicBezTo>
              <a:cubicBezTo>
                <a:pt x="545985" y="165618"/>
                <a:pt x="562302" y="179305"/>
                <a:pt x="572960" y="197069"/>
              </a:cubicBezTo>
              <a:lnTo>
                <a:pt x="616753" y="270058"/>
              </a:lnTo>
              <a:cubicBezTo>
                <a:pt x="640010" y="308819"/>
                <a:pt x="660188" y="341858"/>
                <a:pt x="682443" y="383190"/>
              </a:cubicBezTo>
              <a:cubicBezTo>
                <a:pt x="690958" y="399004"/>
                <a:pt x="700462" y="414325"/>
                <a:pt x="707989" y="430633"/>
              </a:cubicBezTo>
              <a:cubicBezTo>
                <a:pt x="715089" y="446017"/>
                <a:pt x="719843" y="462384"/>
                <a:pt x="726236" y="478075"/>
              </a:cubicBezTo>
              <a:cubicBezTo>
                <a:pt x="771256" y="588580"/>
                <a:pt x="727854" y="471984"/>
                <a:pt x="762730" y="576610"/>
              </a:cubicBezTo>
              <a:cubicBezTo>
                <a:pt x="783187" y="637979"/>
                <a:pt x="784322" y="622888"/>
                <a:pt x="806523" y="707989"/>
              </a:cubicBezTo>
              <a:cubicBezTo>
                <a:pt x="813822" y="735968"/>
                <a:pt x="822749" y="763572"/>
                <a:pt x="828420" y="791926"/>
              </a:cubicBezTo>
              <a:cubicBezTo>
                <a:pt x="837982" y="839736"/>
                <a:pt x="831796" y="816651"/>
                <a:pt x="846667" y="861265"/>
              </a:cubicBezTo>
              <a:cubicBezTo>
                <a:pt x="847883" y="870997"/>
                <a:pt x="848562" y="880811"/>
                <a:pt x="850316" y="890460"/>
              </a:cubicBezTo>
              <a:cubicBezTo>
                <a:pt x="851004" y="894245"/>
                <a:pt x="852909" y="897710"/>
                <a:pt x="853966" y="901409"/>
              </a:cubicBezTo>
              <a:cubicBezTo>
                <a:pt x="855344" y="906231"/>
                <a:pt x="856399" y="911140"/>
                <a:pt x="857615" y="916006"/>
              </a:cubicBezTo>
              <a:cubicBezTo>
                <a:pt x="856399" y="942769"/>
                <a:pt x="859579" y="970098"/>
                <a:pt x="853966" y="996294"/>
              </a:cubicBezTo>
              <a:cubicBezTo>
                <a:pt x="851864" y="1006103"/>
                <a:pt x="851153" y="976070"/>
                <a:pt x="846667" y="967098"/>
              </a:cubicBezTo>
              <a:lnTo>
                <a:pt x="839368" y="952500"/>
              </a:lnTo>
              <a:cubicBezTo>
                <a:pt x="834624" y="933524"/>
                <a:pt x="829215" y="910297"/>
                <a:pt x="821121" y="894110"/>
              </a:cubicBezTo>
              <a:cubicBezTo>
                <a:pt x="807111" y="866090"/>
                <a:pt x="802801" y="859490"/>
                <a:pt x="791926" y="828420"/>
              </a:cubicBezTo>
              <a:cubicBezTo>
                <a:pt x="787730" y="816433"/>
                <a:pt x="784993" y="803975"/>
                <a:pt x="780977" y="791926"/>
              </a:cubicBezTo>
              <a:cubicBezTo>
                <a:pt x="759710" y="728126"/>
                <a:pt x="749218" y="706940"/>
                <a:pt x="733535" y="645949"/>
              </a:cubicBezTo>
              <a:cubicBezTo>
                <a:pt x="727949" y="624225"/>
                <a:pt x="723605" y="602199"/>
                <a:pt x="718937" y="580259"/>
              </a:cubicBezTo>
              <a:cubicBezTo>
                <a:pt x="708897" y="533071"/>
                <a:pt x="702306" y="483872"/>
                <a:pt x="686092" y="437932"/>
              </a:cubicBezTo>
              <a:cubicBezTo>
                <a:pt x="678269" y="415767"/>
                <a:pt x="673703" y="411087"/>
                <a:pt x="664196" y="390489"/>
              </a:cubicBezTo>
              <a:cubicBezTo>
                <a:pt x="660314" y="382077"/>
                <a:pt x="657165" y="373338"/>
                <a:pt x="653247" y="364943"/>
              </a:cubicBezTo>
              <a:cubicBezTo>
                <a:pt x="648646" y="355084"/>
                <a:pt x="643251" y="345607"/>
                <a:pt x="638650" y="335748"/>
              </a:cubicBezTo>
              <a:cubicBezTo>
                <a:pt x="634732" y="327353"/>
                <a:pt x="630904" y="318895"/>
                <a:pt x="627701" y="310202"/>
              </a:cubicBezTo>
              <a:cubicBezTo>
                <a:pt x="622382" y="295764"/>
                <a:pt x="619985" y="280172"/>
                <a:pt x="613104" y="266409"/>
              </a:cubicBezTo>
              <a:cubicBezTo>
                <a:pt x="601882" y="243966"/>
                <a:pt x="608822" y="256336"/>
                <a:pt x="591207" y="229914"/>
              </a:cubicBezTo>
              <a:cubicBezTo>
                <a:pt x="588774" y="226265"/>
                <a:pt x="587009" y="222067"/>
                <a:pt x="583908" y="218966"/>
              </a:cubicBezTo>
              <a:cubicBezTo>
                <a:pt x="580259" y="215317"/>
                <a:pt x="576129" y="212092"/>
                <a:pt x="572960" y="208018"/>
              </a:cubicBezTo>
              <a:cubicBezTo>
                <a:pt x="558088" y="188897"/>
                <a:pt x="559915" y="186627"/>
                <a:pt x="547414" y="167874"/>
              </a:cubicBezTo>
              <a:cubicBezTo>
                <a:pt x="544040" y="162813"/>
                <a:pt x="539420" y="158593"/>
                <a:pt x="536466" y="153276"/>
              </a:cubicBezTo>
              <a:cubicBezTo>
                <a:pt x="528395" y="138748"/>
                <a:pt x="526667" y="117932"/>
                <a:pt x="514569" y="105834"/>
              </a:cubicBezTo>
              <a:cubicBezTo>
                <a:pt x="510920" y="102185"/>
                <a:pt x="506621" y="99086"/>
                <a:pt x="503621" y="94886"/>
              </a:cubicBezTo>
              <a:cubicBezTo>
                <a:pt x="493242" y="80356"/>
                <a:pt x="500901" y="79692"/>
                <a:pt x="485374" y="69340"/>
              </a:cubicBezTo>
              <a:cubicBezTo>
                <a:pt x="482173" y="67206"/>
                <a:pt x="478075" y="66907"/>
                <a:pt x="474426" y="65690"/>
              </a:cubicBezTo>
              <a:cubicBezTo>
                <a:pt x="473209" y="74205"/>
                <a:pt x="474085" y="83296"/>
                <a:pt x="470776" y="91236"/>
              </a:cubicBezTo>
              <a:cubicBezTo>
                <a:pt x="463959" y="107596"/>
                <a:pt x="456735" y="108153"/>
                <a:pt x="445230" y="116782"/>
              </a:cubicBezTo>
              <a:cubicBezTo>
                <a:pt x="438999" y="121456"/>
                <a:pt x="432897" y="126311"/>
                <a:pt x="426983" y="131380"/>
              </a:cubicBezTo>
              <a:cubicBezTo>
                <a:pt x="415861" y="140913"/>
                <a:pt x="405391" y="151197"/>
                <a:pt x="394138" y="160575"/>
              </a:cubicBezTo>
              <a:cubicBezTo>
                <a:pt x="374105" y="177269"/>
                <a:pt x="345917" y="195752"/>
                <a:pt x="328449" y="215317"/>
              </a:cubicBezTo>
              <a:cubicBezTo>
                <a:pt x="310194" y="235762"/>
                <a:pt x="264376" y="293347"/>
                <a:pt x="244512" y="324799"/>
              </a:cubicBezTo>
              <a:cubicBezTo>
                <a:pt x="237824" y="335388"/>
                <a:pt x="232615" y="346849"/>
                <a:pt x="226265" y="357644"/>
              </a:cubicBezTo>
              <a:cubicBezTo>
                <a:pt x="220446" y="367536"/>
                <a:pt x="213712" y="376876"/>
                <a:pt x="208018" y="386840"/>
              </a:cubicBezTo>
              <a:cubicBezTo>
                <a:pt x="193270" y="412649"/>
                <a:pt x="200798" y="402722"/>
                <a:pt x="189770" y="426983"/>
              </a:cubicBezTo>
              <a:cubicBezTo>
                <a:pt x="186393" y="434412"/>
                <a:pt x="182471" y="441581"/>
                <a:pt x="178822" y="448880"/>
              </a:cubicBezTo>
              <a:cubicBezTo>
                <a:pt x="177606" y="454962"/>
                <a:pt x="176955" y="461186"/>
                <a:pt x="175173" y="467127"/>
              </a:cubicBezTo>
              <a:cubicBezTo>
                <a:pt x="167225" y="493619"/>
                <a:pt x="168533" y="476271"/>
                <a:pt x="164224" y="499972"/>
              </a:cubicBezTo>
              <a:cubicBezTo>
                <a:pt x="162685" y="508435"/>
                <a:pt x="161883" y="517016"/>
                <a:pt x="160575" y="525518"/>
              </a:cubicBezTo>
              <a:cubicBezTo>
                <a:pt x="159450" y="532831"/>
                <a:pt x="158290" y="540141"/>
                <a:pt x="156926" y="547414"/>
              </a:cubicBezTo>
              <a:cubicBezTo>
                <a:pt x="154640" y="559607"/>
                <a:pt x="151382" y="571628"/>
                <a:pt x="149627" y="583909"/>
              </a:cubicBezTo>
              <a:cubicBezTo>
                <a:pt x="144889" y="617070"/>
                <a:pt x="148697" y="601294"/>
                <a:pt x="138678" y="631351"/>
              </a:cubicBezTo>
              <a:cubicBezTo>
                <a:pt x="137462" y="639866"/>
                <a:pt x="136166" y="648371"/>
                <a:pt x="135029" y="656897"/>
              </a:cubicBezTo>
              <a:cubicBezTo>
                <a:pt x="133733" y="666618"/>
                <a:pt x="133187" y="676453"/>
                <a:pt x="131380" y="686092"/>
              </a:cubicBezTo>
              <a:cubicBezTo>
                <a:pt x="129531" y="695952"/>
                <a:pt x="126048" y="705451"/>
                <a:pt x="124081" y="715288"/>
              </a:cubicBezTo>
              <a:cubicBezTo>
                <a:pt x="122394" y="723723"/>
                <a:pt x="121739" y="732332"/>
                <a:pt x="120431" y="740834"/>
              </a:cubicBezTo>
              <a:cubicBezTo>
                <a:pt x="119306" y="748147"/>
                <a:pt x="117998" y="755431"/>
                <a:pt x="116782" y="762730"/>
              </a:cubicBezTo>
              <a:cubicBezTo>
                <a:pt x="108525" y="911340"/>
                <a:pt x="116782" y="731181"/>
                <a:pt x="116782" y="978046"/>
              </a:cubicBezTo>
              <a:cubicBezTo>
                <a:pt x="116782" y="992694"/>
                <a:pt x="115540" y="948702"/>
                <a:pt x="113132" y="934253"/>
              </a:cubicBezTo>
              <a:cubicBezTo>
                <a:pt x="111867" y="926664"/>
                <a:pt x="107099" y="919946"/>
                <a:pt x="105834" y="912357"/>
              </a:cubicBezTo>
              <a:lnTo>
                <a:pt x="102184" y="890460"/>
              </a:lnTo>
              <a:cubicBezTo>
                <a:pt x="103401" y="853966"/>
                <a:pt x="103169" y="817394"/>
                <a:pt x="105834" y="780977"/>
              </a:cubicBezTo>
              <a:cubicBezTo>
                <a:pt x="107520" y="757932"/>
                <a:pt x="119020" y="718732"/>
                <a:pt x="124081" y="697041"/>
              </a:cubicBezTo>
              <a:cubicBezTo>
                <a:pt x="160671" y="540225"/>
                <a:pt x="106862" y="747257"/>
                <a:pt x="182472" y="503621"/>
              </a:cubicBezTo>
              <a:cubicBezTo>
                <a:pt x="208277" y="420470"/>
                <a:pt x="224037" y="354059"/>
                <a:pt x="270058" y="277357"/>
              </a:cubicBezTo>
              <a:cubicBezTo>
                <a:pt x="291954" y="240863"/>
                <a:pt x="316714" y="205940"/>
                <a:pt x="335747" y="167874"/>
              </a:cubicBezTo>
              <a:cubicBezTo>
                <a:pt x="344262" y="150843"/>
                <a:pt x="352175" y="133498"/>
                <a:pt x="361293" y="116782"/>
              </a:cubicBezTo>
              <a:cubicBezTo>
                <a:pt x="372409" y="96404"/>
                <a:pt x="377890" y="86917"/>
                <a:pt x="394138" y="72989"/>
              </a:cubicBezTo>
              <a:cubicBezTo>
                <a:pt x="408742" y="60470"/>
                <a:pt x="411558" y="65965"/>
                <a:pt x="434282" y="58391"/>
              </a:cubicBezTo>
              <a:lnTo>
                <a:pt x="445230" y="54742"/>
              </a:lnTo>
              <a:cubicBezTo>
                <a:pt x="439148" y="59608"/>
                <a:pt x="433617" y="65258"/>
                <a:pt x="426983" y="69340"/>
              </a:cubicBezTo>
              <a:cubicBezTo>
                <a:pt x="386192" y="94442"/>
                <a:pt x="411344" y="75335"/>
                <a:pt x="379541" y="91236"/>
              </a:cubicBezTo>
              <a:cubicBezTo>
                <a:pt x="373196" y="94408"/>
                <a:pt x="367277" y="98376"/>
                <a:pt x="361293" y="102184"/>
              </a:cubicBezTo>
              <a:cubicBezTo>
                <a:pt x="353892" y="106893"/>
                <a:pt x="345843" y="110832"/>
                <a:pt x="339397" y="116782"/>
              </a:cubicBezTo>
              <a:cubicBezTo>
                <a:pt x="329895" y="125553"/>
                <a:pt x="322714" y="136561"/>
                <a:pt x="313851" y="145977"/>
              </a:cubicBezTo>
              <a:cubicBezTo>
                <a:pt x="303239" y="157252"/>
                <a:pt x="291082" y="167066"/>
                <a:pt x="281006" y="178822"/>
              </a:cubicBezTo>
              <a:cubicBezTo>
                <a:pt x="269131" y="192676"/>
                <a:pt x="258498" y="207579"/>
                <a:pt x="248161" y="222615"/>
              </a:cubicBezTo>
              <a:cubicBezTo>
                <a:pt x="242822" y="230381"/>
                <a:pt x="199079" y="295234"/>
                <a:pt x="186121" y="321150"/>
              </a:cubicBezTo>
              <a:cubicBezTo>
                <a:pt x="181978" y="329436"/>
                <a:pt x="179007" y="338262"/>
                <a:pt x="175173" y="346696"/>
              </a:cubicBezTo>
              <a:cubicBezTo>
                <a:pt x="172922" y="351649"/>
                <a:pt x="169784" y="356200"/>
                <a:pt x="167874" y="361294"/>
              </a:cubicBezTo>
              <a:cubicBezTo>
                <a:pt x="166113" y="365990"/>
                <a:pt x="165602" y="371069"/>
                <a:pt x="164224" y="375891"/>
              </a:cubicBezTo>
              <a:cubicBezTo>
                <a:pt x="163167" y="379590"/>
                <a:pt x="161791" y="383190"/>
                <a:pt x="160575" y="386840"/>
              </a:cubicBezTo>
              <a:cubicBezTo>
                <a:pt x="145381" y="493195"/>
                <a:pt x="162722" y="389938"/>
                <a:pt x="142328" y="474426"/>
              </a:cubicBezTo>
              <a:cubicBezTo>
                <a:pt x="136786" y="497386"/>
                <a:pt x="127730" y="543765"/>
                <a:pt x="127730" y="543765"/>
              </a:cubicBezTo>
              <a:cubicBezTo>
                <a:pt x="126514" y="554713"/>
                <a:pt x="125447" y="565679"/>
                <a:pt x="124081" y="576610"/>
              </a:cubicBezTo>
              <a:cubicBezTo>
                <a:pt x="123014" y="585145"/>
                <a:pt x="121287" y="593597"/>
                <a:pt x="120431" y="602156"/>
              </a:cubicBezTo>
              <a:cubicBezTo>
                <a:pt x="113051" y="675955"/>
                <a:pt x="120866" y="625098"/>
                <a:pt x="113132" y="671495"/>
              </a:cubicBezTo>
              <a:cubicBezTo>
                <a:pt x="111916" y="721370"/>
                <a:pt x="109483" y="771231"/>
                <a:pt x="109483" y="821121"/>
              </a:cubicBezTo>
              <a:cubicBezTo>
                <a:pt x="109483" y="852773"/>
                <a:pt x="109875" y="947490"/>
                <a:pt x="113132" y="916006"/>
              </a:cubicBezTo>
              <a:cubicBezTo>
                <a:pt x="120021" y="849411"/>
                <a:pt x="115728" y="782073"/>
                <a:pt x="120431" y="715288"/>
              </a:cubicBezTo>
              <a:cubicBezTo>
                <a:pt x="123191" y="676091"/>
                <a:pt x="133695" y="653010"/>
                <a:pt x="142328" y="616753"/>
              </a:cubicBezTo>
              <a:cubicBezTo>
                <a:pt x="145201" y="604685"/>
                <a:pt x="146307" y="592212"/>
                <a:pt x="149627" y="580259"/>
              </a:cubicBezTo>
              <a:cubicBezTo>
                <a:pt x="155074" y="560651"/>
                <a:pt x="164284" y="544339"/>
                <a:pt x="171523" y="525518"/>
              </a:cubicBezTo>
              <a:cubicBezTo>
                <a:pt x="177201" y="510754"/>
                <a:pt x="179108" y="499399"/>
                <a:pt x="186121" y="485374"/>
              </a:cubicBezTo>
              <a:cubicBezTo>
                <a:pt x="189293" y="479030"/>
                <a:pt x="194435" y="473713"/>
                <a:pt x="197069" y="467127"/>
              </a:cubicBezTo>
              <a:cubicBezTo>
                <a:pt x="204212" y="449269"/>
                <a:pt x="206714" y="429589"/>
                <a:pt x="215316" y="412386"/>
              </a:cubicBezTo>
              <a:cubicBezTo>
                <a:pt x="221399" y="400221"/>
                <a:pt x="227983" y="388294"/>
                <a:pt x="233564" y="375891"/>
              </a:cubicBezTo>
              <a:cubicBezTo>
                <a:pt x="244696" y="351153"/>
                <a:pt x="251142" y="325803"/>
                <a:pt x="266408" y="302903"/>
              </a:cubicBezTo>
              <a:cubicBezTo>
                <a:pt x="285871" y="273707"/>
                <a:pt x="260327" y="308983"/>
                <a:pt x="284655" y="284656"/>
              </a:cubicBezTo>
              <a:cubicBezTo>
                <a:pt x="291374" y="277938"/>
                <a:pt x="297047" y="270241"/>
                <a:pt x="302903" y="262759"/>
              </a:cubicBezTo>
              <a:cubicBezTo>
                <a:pt x="318948" y="242257"/>
                <a:pt x="335103" y="221824"/>
                <a:pt x="350345" y="200719"/>
              </a:cubicBezTo>
              <a:cubicBezTo>
                <a:pt x="422438" y="100899"/>
                <a:pt x="370903" y="159923"/>
                <a:pt x="416035" y="120432"/>
              </a:cubicBezTo>
              <a:cubicBezTo>
                <a:pt x="419919" y="117033"/>
                <a:pt x="422367" y="111791"/>
                <a:pt x="426983" y="109483"/>
              </a:cubicBezTo>
              <a:cubicBezTo>
                <a:pt x="432531" y="106709"/>
                <a:pt x="439148" y="107050"/>
                <a:pt x="445230" y="105834"/>
              </a:cubicBezTo>
              <a:cubicBezTo>
                <a:pt x="448879" y="103401"/>
                <a:pt x="452609" y="101084"/>
                <a:pt x="456178" y="98535"/>
              </a:cubicBezTo>
              <a:cubicBezTo>
                <a:pt x="461127" y="95000"/>
                <a:pt x="476546" y="85664"/>
                <a:pt x="470776" y="87587"/>
              </a:cubicBezTo>
              <a:cubicBezTo>
                <a:pt x="455070" y="92822"/>
                <a:pt x="463560" y="90303"/>
                <a:pt x="445230" y="94886"/>
              </a:cubicBezTo>
              <a:cubicBezTo>
                <a:pt x="397520" y="130667"/>
                <a:pt x="455352" y="84764"/>
                <a:pt x="423334" y="116782"/>
              </a:cubicBezTo>
              <a:cubicBezTo>
                <a:pt x="420232" y="119884"/>
                <a:pt x="415894" y="121449"/>
                <a:pt x="412385" y="124081"/>
              </a:cubicBezTo>
              <a:cubicBezTo>
                <a:pt x="406154" y="128755"/>
                <a:pt x="399902" y="133439"/>
                <a:pt x="394138" y="138679"/>
              </a:cubicBezTo>
              <a:cubicBezTo>
                <a:pt x="386500" y="145622"/>
                <a:pt x="379788" y="153532"/>
                <a:pt x="372242" y="160575"/>
              </a:cubicBezTo>
              <a:cubicBezTo>
                <a:pt x="361533" y="170570"/>
                <a:pt x="349479" y="179144"/>
                <a:pt x="339397" y="189771"/>
              </a:cubicBezTo>
              <a:cubicBezTo>
                <a:pt x="304422" y="226636"/>
                <a:pt x="270731" y="264708"/>
                <a:pt x="237213" y="302903"/>
              </a:cubicBezTo>
              <a:cubicBezTo>
                <a:pt x="192287" y="354098"/>
                <a:pt x="138906" y="421381"/>
                <a:pt x="105834" y="478075"/>
              </a:cubicBezTo>
              <a:cubicBezTo>
                <a:pt x="91524" y="502606"/>
                <a:pt x="59259" y="555759"/>
                <a:pt x="51092" y="580259"/>
              </a:cubicBezTo>
              <a:lnTo>
                <a:pt x="43793" y="602156"/>
              </a:lnTo>
              <a:cubicBezTo>
                <a:pt x="42577" y="609455"/>
                <a:pt x="41595" y="616796"/>
                <a:pt x="40144" y="624052"/>
              </a:cubicBezTo>
              <a:cubicBezTo>
                <a:pt x="39160" y="628970"/>
                <a:pt x="37020" y="633662"/>
                <a:pt x="36495" y="638650"/>
              </a:cubicBezTo>
              <a:cubicBezTo>
                <a:pt x="34581" y="656837"/>
                <a:pt x="34148" y="675150"/>
                <a:pt x="32845" y="693391"/>
              </a:cubicBezTo>
              <a:cubicBezTo>
                <a:pt x="31715" y="709212"/>
                <a:pt x="30412" y="725020"/>
                <a:pt x="29196" y="740834"/>
              </a:cubicBezTo>
              <a:cubicBezTo>
                <a:pt x="35901" y="868247"/>
                <a:pt x="28187" y="771139"/>
                <a:pt x="36495" y="832069"/>
              </a:cubicBezTo>
              <a:cubicBezTo>
                <a:pt x="39145" y="851504"/>
                <a:pt x="43793" y="890460"/>
                <a:pt x="43793" y="890460"/>
              </a:cubicBezTo>
              <a:cubicBezTo>
                <a:pt x="45010" y="912357"/>
                <a:pt x="44342" y="934440"/>
                <a:pt x="47443" y="956150"/>
              </a:cubicBezTo>
              <a:cubicBezTo>
                <a:pt x="48152" y="961115"/>
                <a:pt x="51092" y="946568"/>
                <a:pt x="51092" y="941552"/>
              </a:cubicBezTo>
              <a:cubicBezTo>
                <a:pt x="51092" y="929327"/>
                <a:pt x="48659" y="917223"/>
                <a:pt x="47443" y="905058"/>
              </a:cubicBezTo>
              <a:cubicBezTo>
                <a:pt x="48659" y="849100"/>
                <a:pt x="47032" y="793008"/>
                <a:pt x="51092" y="737184"/>
              </a:cubicBezTo>
              <a:cubicBezTo>
                <a:pt x="51563" y="730706"/>
                <a:pt x="70386" y="682518"/>
                <a:pt x="72989" y="675144"/>
              </a:cubicBezTo>
              <a:cubicBezTo>
                <a:pt x="106921" y="579000"/>
                <a:pt x="43770" y="744541"/>
                <a:pt x="120431" y="547414"/>
              </a:cubicBezTo>
              <a:cubicBezTo>
                <a:pt x="126725" y="531229"/>
                <a:pt x="140078" y="499422"/>
                <a:pt x="145977" y="481725"/>
              </a:cubicBezTo>
              <a:cubicBezTo>
                <a:pt x="148410" y="474426"/>
                <a:pt x="150647" y="467059"/>
                <a:pt x="153276" y="459828"/>
              </a:cubicBezTo>
              <a:cubicBezTo>
                <a:pt x="155515" y="453672"/>
                <a:pt x="158602" y="447828"/>
                <a:pt x="160575" y="441581"/>
              </a:cubicBezTo>
              <a:cubicBezTo>
                <a:pt x="165909" y="424691"/>
                <a:pt x="167489" y="406448"/>
                <a:pt x="175173" y="390489"/>
              </a:cubicBezTo>
              <a:cubicBezTo>
                <a:pt x="194783" y="349760"/>
                <a:pt x="245950" y="240900"/>
                <a:pt x="270058" y="200719"/>
              </a:cubicBezTo>
              <a:cubicBezTo>
                <a:pt x="308326" y="136939"/>
                <a:pt x="274340" y="188965"/>
                <a:pt x="313851" y="138679"/>
              </a:cubicBezTo>
              <a:cubicBezTo>
                <a:pt x="333809" y="113278"/>
                <a:pt x="330440" y="111142"/>
                <a:pt x="353995" y="87587"/>
              </a:cubicBezTo>
              <a:cubicBezTo>
                <a:pt x="360713" y="80869"/>
                <a:pt x="368973" y="75852"/>
                <a:pt x="375891" y="69340"/>
              </a:cubicBezTo>
              <a:cubicBezTo>
                <a:pt x="389671" y="56370"/>
                <a:pt x="404214" y="43973"/>
                <a:pt x="416035" y="29196"/>
              </a:cubicBezTo>
              <a:cubicBezTo>
                <a:pt x="426496" y="16119"/>
                <a:pt x="428023" y="10429"/>
                <a:pt x="441581" y="3650"/>
              </a:cubicBezTo>
              <a:cubicBezTo>
                <a:pt x="445022" y="1930"/>
                <a:pt x="448880" y="1217"/>
                <a:pt x="452529" y="0"/>
              </a:cubicBezTo>
              <a:cubicBezTo>
                <a:pt x="456178" y="1217"/>
                <a:pt x="463477" y="-197"/>
                <a:pt x="463477" y="3650"/>
              </a:cubicBezTo>
              <a:cubicBezTo>
                <a:pt x="463477" y="8036"/>
                <a:pt x="456452" y="8988"/>
                <a:pt x="452529" y="10949"/>
              </a:cubicBezTo>
              <a:cubicBezTo>
                <a:pt x="442340" y="16043"/>
                <a:pt x="425444" y="16904"/>
                <a:pt x="416035" y="18248"/>
              </a:cubicBezTo>
              <a:cubicBezTo>
                <a:pt x="385546" y="38573"/>
                <a:pt x="400345" y="26639"/>
                <a:pt x="372242" y="54742"/>
              </a:cubicBezTo>
              <a:cubicBezTo>
                <a:pt x="368592" y="58392"/>
                <a:pt x="364390" y="61561"/>
                <a:pt x="361293" y="65690"/>
              </a:cubicBezTo>
              <a:cubicBezTo>
                <a:pt x="357644" y="70556"/>
                <a:pt x="353719" y="75227"/>
                <a:pt x="350345" y="80288"/>
              </a:cubicBezTo>
              <a:cubicBezTo>
                <a:pt x="346411" y="86190"/>
                <a:pt x="343569" y="92798"/>
                <a:pt x="339397" y="98535"/>
              </a:cubicBezTo>
              <a:cubicBezTo>
                <a:pt x="333809" y="106219"/>
                <a:pt x="326558" y="112620"/>
                <a:pt x="321150" y="120432"/>
              </a:cubicBezTo>
              <a:cubicBezTo>
                <a:pt x="317345" y="125928"/>
                <a:pt x="254514" y="221859"/>
                <a:pt x="244512" y="240863"/>
              </a:cubicBezTo>
              <a:cubicBezTo>
                <a:pt x="232347" y="263976"/>
                <a:pt x="220977" y="287525"/>
                <a:pt x="208018" y="310202"/>
              </a:cubicBezTo>
              <a:cubicBezTo>
                <a:pt x="203152" y="318717"/>
                <a:pt x="197283" y="326733"/>
                <a:pt x="193420" y="335748"/>
              </a:cubicBezTo>
              <a:cubicBezTo>
                <a:pt x="189931" y="343888"/>
                <a:pt x="188922" y="352892"/>
                <a:pt x="186121" y="361294"/>
              </a:cubicBezTo>
              <a:cubicBezTo>
                <a:pt x="184049" y="367509"/>
                <a:pt x="181255" y="373459"/>
                <a:pt x="178822" y="379541"/>
              </a:cubicBezTo>
              <a:cubicBezTo>
                <a:pt x="177606" y="385623"/>
                <a:pt x="176568" y="391744"/>
                <a:pt x="175173" y="397788"/>
              </a:cubicBezTo>
              <a:cubicBezTo>
                <a:pt x="172917" y="407562"/>
                <a:pt x="169842" y="417147"/>
                <a:pt x="167874" y="426983"/>
              </a:cubicBezTo>
              <a:cubicBezTo>
                <a:pt x="166657" y="433065"/>
                <a:pt x="165334" y="439127"/>
                <a:pt x="164224" y="445230"/>
              </a:cubicBezTo>
              <a:cubicBezTo>
                <a:pt x="162900" y="452510"/>
                <a:pt x="162084" y="459883"/>
                <a:pt x="160575" y="467127"/>
              </a:cubicBezTo>
              <a:cubicBezTo>
                <a:pt x="156000" y="489086"/>
                <a:pt x="151417" y="511056"/>
                <a:pt x="145977" y="532817"/>
              </a:cubicBezTo>
              <a:cubicBezTo>
                <a:pt x="143544" y="542549"/>
                <a:pt x="140854" y="552220"/>
                <a:pt x="138678" y="562012"/>
              </a:cubicBezTo>
              <a:cubicBezTo>
                <a:pt x="135987" y="574122"/>
                <a:pt x="134389" y="586471"/>
                <a:pt x="131380" y="598506"/>
              </a:cubicBezTo>
              <a:cubicBezTo>
                <a:pt x="128300" y="610827"/>
                <a:pt x="123511" y="622679"/>
                <a:pt x="120431" y="635000"/>
              </a:cubicBezTo>
              <a:cubicBezTo>
                <a:pt x="117422" y="647035"/>
                <a:pt x="115767" y="659372"/>
                <a:pt x="113132" y="671495"/>
              </a:cubicBezTo>
              <a:cubicBezTo>
                <a:pt x="109684" y="687354"/>
                <a:pt x="105584" y="703068"/>
                <a:pt x="102184" y="718937"/>
              </a:cubicBezTo>
              <a:cubicBezTo>
                <a:pt x="98285" y="737133"/>
                <a:pt x="95464" y="755557"/>
                <a:pt x="91236" y="773679"/>
              </a:cubicBezTo>
              <a:cubicBezTo>
                <a:pt x="86945" y="792070"/>
                <a:pt x="81218" y="810099"/>
                <a:pt x="76638" y="828420"/>
              </a:cubicBezTo>
              <a:cubicBezTo>
                <a:pt x="51561" y="928728"/>
                <a:pt x="81829" y="817068"/>
                <a:pt x="51092" y="970748"/>
              </a:cubicBezTo>
              <a:cubicBezTo>
                <a:pt x="35311" y="1049652"/>
                <a:pt x="50517" y="969007"/>
                <a:pt x="40144" y="1036437"/>
              </a:cubicBezTo>
              <a:cubicBezTo>
                <a:pt x="39201" y="1042568"/>
                <a:pt x="34534" y="1060569"/>
                <a:pt x="36495" y="1054684"/>
              </a:cubicBezTo>
              <a:lnTo>
                <a:pt x="40144" y="1043736"/>
              </a:lnTo>
              <a:cubicBezTo>
                <a:pt x="38928" y="1029138"/>
                <a:pt x="39194" y="1014340"/>
                <a:pt x="36495" y="999943"/>
              </a:cubicBezTo>
              <a:cubicBezTo>
                <a:pt x="35492" y="994596"/>
                <a:pt x="31406" y="990316"/>
                <a:pt x="29196" y="985345"/>
              </a:cubicBezTo>
              <a:cubicBezTo>
                <a:pt x="26535" y="979359"/>
                <a:pt x="24827" y="972957"/>
                <a:pt x="21897" y="967098"/>
              </a:cubicBezTo>
              <a:cubicBezTo>
                <a:pt x="19935" y="963175"/>
                <a:pt x="16560" y="960073"/>
                <a:pt x="14598" y="956150"/>
              </a:cubicBezTo>
              <a:cubicBezTo>
                <a:pt x="9676" y="946305"/>
                <a:pt x="5642" y="934259"/>
                <a:pt x="3650" y="923305"/>
              </a:cubicBezTo>
              <a:cubicBezTo>
                <a:pt x="2111" y="914842"/>
                <a:pt x="1217" y="906274"/>
                <a:pt x="0" y="897759"/>
              </a:cubicBezTo>
              <a:cubicBezTo>
                <a:pt x="3233" y="752306"/>
                <a:pt x="-2263" y="781963"/>
                <a:pt x="7299" y="700690"/>
              </a:cubicBezTo>
              <a:cubicBezTo>
                <a:pt x="8445" y="690950"/>
                <a:pt x="8894" y="681085"/>
                <a:pt x="10949" y="671495"/>
              </a:cubicBezTo>
              <a:cubicBezTo>
                <a:pt x="12561" y="663972"/>
                <a:pt x="16223" y="657021"/>
                <a:pt x="18247" y="649598"/>
              </a:cubicBezTo>
              <a:cubicBezTo>
                <a:pt x="19879" y="643614"/>
                <a:pt x="19935" y="637236"/>
                <a:pt x="21897" y="631351"/>
              </a:cubicBezTo>
              <a:cubicBezTo>
                <a:pt x="24827" y="622562"/>
                <a:pt x="29469" y="614432"/>
                <a:pt x="32845" y="605805"/>
              </a:cubicBezTo>
              <a:cubicBezTo>
                <a:pt x="40420" y="586447"/>
                <a:pt x="46554" y="566521"/>
                <a:pt x="54742" y="547414"/>
              </a:cubicBezTo>
              <a:cubicBezTo>
                <a:pt x="58391" y="538899"/>
                <a:pt x="62487" y="530561"/>
                <a:pt x="65690" y="521868"/>
              </a:cubicBezTo>
              <a:cubicBezTo>
                <a:pt x="71009" y="507429"/>
                <a:pt x="74574" y="492362"/>
                <a:pt x="80288" y="478075"/>
              </a:cubicBezTo>
              <a:cubicBezTo>
                <a:pt x="82721" y="471993"/>
                <a:pt x="84374" y="465538"/>
                <a:pt x="87586" y="459828"/>
              </a:cubicBezTo>
              <a:cubicBezTo>
                <a:pt x="95362" y="446004"/>
                <a:pt x="105537" y="433608"/>
                <a:pt x="113132" y="419684"/>
              </a:cubicBezTo>
              <a:cubicBezTo>
                <a:pt x="120431" y="406303"/>
                <a:pt x="127275" y="392663"/>
                <a:pt x="135029" y="379541"/>
              </a:cubicBezTo>
              <a:cubicBezTo>
                <a:pt x="143098" y="365886"/>
                <a:pt x="152825" y="353236"/>
                <a:pt x="160575" y="339397"/>
              </a:cubicBezTo>
              <a:cubicBezTo>
                <a:pt x="169878" y="322784"/>
                <a:pt x="174696" y="303538"/>
                <a:pt x="186121" y="288305"/>
              </a:cubicBezTo>
              <a:cubicBezTo>
                <a:pt x="193420" y="278573"/>
                <a:pt x="199417" y="267712"/>
                <a:pt x="208018" y="259110"/>
              </a:cubicBezTo>
              <a:cubicBezTo>
                <a:pt x="211667" y="255460"/>
                <a:pt x="215869" y="252290"/>
                <a:pt x="218966" y="248161"/>
              </a:cubicBezTo>
              <a:cubicBezTo>
                <a:pt x="223222" y="242486"/>
                <a:pt x="225742" y="235650"/>
                <a:pt x="229914" y="229914"/>
              </a:cubicBezTo>
              <a:cubicBezTo>
                <a:pt x="235502" y="222230"/>
                <a:pt x="242352" y="215536"/>
                <a:pt x="248161" y="208018"/>
              </a:cubicBezTo>
              <a:cubicBezTo>
                <a:pt x="263037" y="188766"/>
                <a:pt x="275790" y="167811"/>
                <a:pt x="291954" y="149627"/>
              </a:cubicBezTo>
              <a:cubicBezTo>
                <a:pt x="303477" y="136664"/>
                <a:pt x="348558" y="83357"/>
                <a:pt x="372242" y="62041"/>
              </a:cubicBezTo>
              <a:cubicBezTo>
                <a:pt x="376763" y="57972"/>
                <a:pt x="381890" y="54627"/>
                <a:pt x="386839" y="51092"/>
              </a:cubicBezTo>
              <a:cubicBezTo>
                <a:pt x="413750" y="31870"/>
                <a:pt x="376896" y="59713"/>
                <a:pt x="430632" y="32845"/>
              </a:cubicBezTo>
              <a:lnTo>
                <a:pt x="445230" y="25546"/>
              </a:lnTo>
              <a:cubicBezTo>
                <a:pt x="450418" y="26411"/>
                <a:pt x="479005" y="30934"/>
                <a:pt x="485374" y="32845"/>
              </a:cubicBezTo>
              <a:cubicBezTo>
                <a:pt x="491649" y="34727"/>
                <a:pt x="497487" y="37844"/>
                <a:pt x="503621" y="40144"/>
              </a:cubicBezTo>
              <a:cubicBezTo>
                <a:pt x="507223" y="41495"/>
                <a:pt x="511128" y="42074"/>
                <a:pt x="514569" y="43794"/>
              </a:cubicBezTo>
              <a:cubicBezTo>
                <a:pt x="542868" y="57943"/>
                <a:pt x="508948" y="45568"/>
                <a:pt x="536466" y="54742"/>
              </a:cubicBezTo>
              <a:cubicBezTo>
                <a:pt x="596388" y="102681"/>
                <a:pt x="528226" y="51598"/>
                <a:pt x="565661" y="72989"/>
              </a:cubicBezTo>
              <a:cubicBezTo>
                <a:pt x="590825" y="87368"/>
                <a:pt x="570496" y="79352"/>
                <a:pt x="591207" y="94886"/>
              </a:cubicBezTo>
              <a:cubicBezTo>
                <a:pt x="623417" y="119044"/>
                <a:pt x="595917" y="91297"/>
                <a:pt x="627701" y="120432"/>
              </a:cubicBezTo>
              <a:cubicBezTo>
                <a:pt x="627715" y="120445"/>
                <a:pt x="657239" y="149969"/>
                <a:pt x="664196" y="156926"/>
              </a:cubicBezTo>
              <a:cubicBezTo>
                <a:pt x="670278" y="163008"/>
                <a:pt x="677282" y="168292"/>
                <a:pt x="682443" y="175173"/>
              </a:cubicBezTo>
              <a:cubicBezTo>
                <a:pt x="686092" y="180039"/>
                <a:pt x="689350" y="185225"/>
                <a:pt x="693391" y="189771"/>
              </a:cubicBezTo>
              <a:cubicBezTo>
                <a:pt x="699106" y="196200"/>
                <a:pt x="705947" y="201568"/>
                <a:pt x="711638" y="208018"/>
              </a:cubicBezTo>
              <a:cubicBezTo>
                <a:pt x="724210" y="222266"/>
                <a:pt x="735967" y="237213"/>
                <a:pt x="748132" y="251811"/>
              </a:cubicBezTo>
              <a:cubicBezTo>
                <a:pt x="754214" y="259110"/>
                <a:pt x="760858" y="265976"/>
                <a:pt x="766380" y="273707"/>
              </a:cubicBezTo>
              <a:cubicBezTo>
                <a:pt x="772462" y="282222"/>
                <a:pt x="779009" y="290424"/>
                <a:pt x="784627" y="299253"/>
              </a:cubicBezTo>
              <a:cubicBezTo>
                <a:pt x="796052" y="317206"/>
                <a:pt x="804179" y="337378"/>
                <a:pt x="817472" y="353995"/>
              </a:cubicBezTo>
              <a:cubicBezTo>
                <a:pt x="822338" y="360077"/>
                <a:pt x="828120" y="365528"/>
                <a:pt x="832069" y="372242"/>
              </a:cubicBezTo>
              <a:cubicBezTo>
                <a:pt x="855547" y="412155"/>
                <a:pt x="857734" y="430868"/>
                <a:pt x="879512" y="474426"/>
              </a:cubicBezTo>
              <a:cubicBezTo>
                <a:pt x="884378" y="484158"/>
                <a:pt x="889748" y="493653"/>
                <a:pt x="894109" y="503621"/>
              </a:cubicBezTo>
              <a:cubicBezTo>
                <a:pt x="898275" y="513143"/>
                <a:pt x="900757" y="523355"/>
                <a:pt x="905058" y="532817"/>
              </a:cubicBezTo>
              <a:cubicBezTo>
                <a:pt x="912937" y="550151"/>
                <a:pt x="923918" y="566080"/>
                <a:pt x="930604" y="583909"/>
              </a:cubicBezTo>
              <a:cubicBezTo>
                <a:pt x="934253" y="593641"/>
                <a:pt x="937595" y="603493"/>
                <a:pt x="941552" y="613104"/>
              </a:cubicBezTo>
              <a:cubicBezTo>
                <a:pt x="946114" y="624183"/>
                <a:pt x="951943" y="634731"/>
                <a:pt x="956150" y="645949"/>
              </a:cubicBezTo>
              <a:cubicBezTo>
                <a:pt x="959260" y="654241"/>
                <a:pt x="960270" y="663229"/>
                <a:pt x="963449" y="671495"/>
              </a:cubicBezTo>
              <a:cubicBezTo>
                <a:pt x="966378" y="679111"/>
                <a:pt x="971468" y="685775"/>
                <a:pt x="974397" y="693391"/>
              </a:cubicBezTo>
              <a:cubicBezTo>
                <a:pt x="983105" y="716031"/>
                <a:pt x="979508" y="719487"/>
                <a:pt x="988995" y="740834"/>
              </a:cubicBezTo>
              <a:cubicBezTo>
                <a:pt x="990776" y="744842"/>
                <a:pt x="993860" y="748133"/>
                <a:pt x="996293" y="751782"/>
              </a:cubicBezTo>
              <a:cubicBezTo>
                <a:pt x="999356" y="770157"/>
                <a:pt x="1001180" y="784688"/>
                <a:pt x="1007242" y="802874"/>
              </a:cubicBezTo>
              <a:cubicBezTo>
                <a:pt x="1010172" y="811663"/>
                <a:pt x="1014541" y="819905"/>
                <a:pt x="1018190" y="828420"/>
              </a:cubicBezTo>
              <a:cubicBezTo>
                <a:pt x="1023692" y="866936"/>
                <a:pt x="1018644" y="845979"/>
                <a:pt x="1036437" y="890460"/>
              </a:cubicBezTo>
              <a:lnTo>
                <a:pt x="1036437" y="890460"/>
              </a:lnTo>
              <a:cubicBezTo>
                <a:pt x="1037653" y="895326"/>
                <a:pt x="1038110" y="900448"/>
                <a:pt x="1040086" y="905058"/>
              </a:cubicBezTo>
              <a:cubicBezTo>
                <a:pt x="1061323" y="954611"/>
                <a:pt x="1035645" y="880793"/>
                <a:pt x="1051035" y="926954"/>
              </a:cubicBezTo>
              <a:cubicBezTo>
                <a:pt x="1052251" y="934253"/>
                <a:pt x="1053134" y="941616"/>
                <a:pt x="1054684" y="948851"/>
              </a:cubicBezTo>
              <a:cubicBezTo>
                <a:pt x="1056786" y="958660"/>
                <a:pt x="1068002" y="986071"/>
                <a:pt x="1061983" y="978046"/>
              </a:cubicBezTo>
              <a:cubicBezTo>
                <a:pt x="1058334" y="973180"/>
                <a:pt x="1053755" y="968889"/>
                <a:pt x="1051035" y="963449"/>
              </a:cubicBezTo>
              <a:cubicBezTo>
                <a:pt x="1045176" y="951730"/>
                <a:pt x="1042297" y="938673"/>
                <a:pt x="1036437" y="926954"/>
              </a:cubicBezTo>
              <a:lnTo>
                <a:pt x="1029138" y="912357"/>
              </a:lnTo>
              <a:cubicBezTo>
                <a:pt x="1022191" y="884564"/>
                <a:pt x="1027732" y="902245"/>
                <a:pt x="1007242" y="861265"/>
              </a:cubicBezTo>
              <a:cubicBezTo>
                <a:pt x="1004809" y="856399"/>
                <a:pt x="1003342" y="850915"/>
                <a:pt x="999943" y="846667"/>
              </a:cubicBezTo>
              <a:cubicBezTo>
                <a:pt x="995077" y="840585"/>
                <a:pt x="989527" y="834992"/>
                <a:pt x="985345" y="828420"/>
              </a:cubicBezTo>
              <a:cubicBezTo>
                <a:pt x="980964" y="821535"/>
                <a:pt x="978305" y="813687"/>
                <a:pt x="974397" y="806523"/>
              </a:cubicBezTo>
              <a:cubicBezTo>
                <a:pt x="971001" y="800296"/>
                <a:pt x="966846" y="794503"/>
                <a:pt x="963449" y="788276"/>
              </a:cubicBezTo>
              <a:cubicBezTo>
                <a:pt x="959541" y="781112"/>
                <a:pt x="956777" y="773330"/>
                <a:pt x="952500" y="766380"/>
              </a:cubicBezTo>
              <a:cubicBezTo>
                <a:pt x="947015" y="757468"/>
                <a:pt x="939559" y="749854"/>
                <a:pt x="934253" y="740834"/>
              </a:cubicBezTo>
              <a:cubicBezTo>
                <a:pt x="927357" y="729111"/>
                <a:pt x="922406" y="716340"/>
                <a:pt x="916006" y="704340"/>
              </a:cubicBezTo>
              <a:cubicBezTo>
                <a:pt x="893208" y="661594"/>
                <a:pt x="869686" y="619238"/>
                <a:pt x="846667" y="576610"/>
              </a:cubicBezTo>
              <a:cubicBezTo>
                <a:pt x="836841" y="558413"/>
                <a:pt x="827322" y="540052"/>
                <a:pt x="817472" y="521868"/>
              </a:cubicBezTo>
              <a:cubicBezTo>
                <a:pt x="813468" y="514475"/>
                <a:pt x="795650" y="481837"/>
                <a:pt x="788276" y="470776"/>
              </a:cubicBezTo>
              <a:cubicBezTo>
                <a:pt x="785843" y="467127"/>
                <a:pt x="783153" y="463636"/>
                <a:pt x="780977" y="459828"/>
              </a:cubicBezTo>
              <a:cubicBezTo>
                <a:pt x="778278" y="455104"/>
                <a:pt x="776320" y="449986"/>
                <a:pt x="773678" y="445230"/>
              </a:cubicBezTo>
              <a:cubicBezTo>
                <a:pt x="770233" y="439029"/>
                <a:pt x="765524" y="433503"/>
                <a:pt x="762730" y="426983"/>
              </a:cubicBezTo>
              <a:cubicBezTo>
                <a:pt x="758184" y="416376"/>
                <a:pt x="755098" y="405192"/>
                <a:pt x="751782" y="394138"/>
              </a:cubicBezTo>
              <a:cubicBezTo>
                <a:pt x="744148" y="368690"/>
                <a:pt x="737519" y="342948"/>
                <a:pt x="729885" y="317500"/>
              </a:cubicBezTo>
              <a:cubicBezTo>
                <a:pt x="726569" y="306446"/>
                <a:pt x="724098" y="294978"/>
                <a:pt x="718937" y="284656"/>
              </a:cubicBezTo>
              <a:lnTo>
                <a:pt x="689742" y="226265"/>
              </a:lnTo>
              <a:cubicBezTo>
                <a:pt x="684876" y="216533"/>
                <a:pt x="679505" y="207037"/>
                <a:pt x="675144" y="197069"/>
              </a:cubicBezTo>
              <a:cubicBezTo>
                <a:pt x="666629" y="177606"/>
                <a:pt x="657967" y="158206"/>
                <a:pt x="649598" y="138679"/>
              </a:cubicBezTo>
              <a:cubicBezTo>
                <a:pt x="641781" y="120439"/>
                <a:pt x="644613" y="120422"/>
                <a:pt x="631351" y="105834"/>
              </a:cubicBezTo>
              <a:cubicBezTo>
                <a:pt x="623250" y="96923"/>
                <a:pt x="612485" y="90308"/>
                <a:pt x="605805" y="80288"/>
              </a:cubicBezTo>
              <a:cubicBezTo>
                <a:pt x="603372" y="76639"/>
                <a:pt x="601807" y="72228"/>
                <a:pt x="598506" y="69340"/>
              </a:cubicBezTo>
              <a:cubicBezTo>
                <a:pt x="591904" y="63563"/>
                <a:pt x="585119" y="56870"/>
                <a:pt x="576609" y="54742"/>
              </a:cubicBezTo>
              <a:cubicBezTo>
                <a:pt x="571743" y="53525"/>
                <a:pt x="566816" y="52533"/>
                <a:pt x="562012" y="51092"/>
              </a:cubicBezTo>
              <a:cubicBezTo>
                <a:pt x="554643" y="48881"/>
                <a:pt x="540115" y="43794"/>
                <a:pt x="540115" y="43794"/>
              </a:cubicBezTo>
              <a:cubicBezTo>
                <a:pt x="534033" y="45010"/>
                <a:pt x="527676" y="45265"/>
                <a:pt x="521868" y="47443"/>
              </a:cubicBezTo>
              <a:cubicBezTo>
                <a:pt x="517761" y="48983"/>
                <a:pt x="515042" y="53243"/>
                <a:pt x="510920" y="54742"/>
              </a:cubicBezTo>
              <a:cubicBezTo>
                <a:pt x="487418" y="63288"/>
                <a:pt x="484747" y="57594"/>
                <a:pt x="467127" y="69340"/>
              </a:cubicBezTo>
              <a:cubicBezTo>
                <a:pt x="426640" y="96331"/>
                <a:pt x="468413" y="74170"/>
                <a:pt x="434282" y="91236"/>
              </a:cubicBezTo>
              <a:cubicBezTo>
                <a:pt x="415603" y="122368"/>
                <a:pt x="428852" y="101945"/>
                <a:pt x="397788" y="142328"/>
              </a:cubicBezTo>
              <a:cubicBezTo>
                <a:pt x="394079" y="147149"/>
                <a:pt x="391140" y="152625"/>
                <a:pt x="386839" y="156926"/>
              </a:cubicBezTo>
              <a:cubicBezTo>
                <a:pt x="368361" y="175404"/>
                <a:pt x="349930" y="192625"/>
                <a:pt x="335747" y="215317"/>
              </a:cubicBezTo>
              <a:cubicBezTo>
                <a:pt x="329665" y="225049"/>
                <a:pt x="323866" y="234963"/>
                <a:pt x="317500" y="244512"/>
              </a:cubicBezTo>
              <a:cubicBezTo>
                <a:pt x="306831" y="260516"/>
                <a:pt x="293256" y="274750"/>
                <a:pt x="284655" y="291954"/>
              </a:cubicBezTo>
              <a:cubicBezTo>
                <a:pt x="279789" y="301686"/>
                <a:pt x="276094" y="312097"/>
                <a:pt x="270058" y="321150"/>
              </a:cubicBezTo>
              <a:cubicBezTo>
                <a:pt x="267625" y="324799"/>
                <a:pt x="264935" y="328290"/>
                <a:pt x="262759" y="332098"/>
              </a:cubicBezTo>
              <a:cubicBezTo>
                <a:pt x="246726" y="360155"/>
                <a:pt x="265448" y="333379"/>
                <a:pt x="244512" y="361294"/>
              </a:cubicBezTo>
              <a:cubicBezTo>
                <a:pt x="242079" y="368593"/>
                <a:pt x="240654" y="376309"/>
                <a:pt x="237213" y="383190"/>
              </a:cubicBezTo>
              <a:cubicBezTo>
                <a:pt x="230868" y="395879"/>
                <a:pt x="220584" y="406512"/>
                <a:pt x="215316" y="419684"/>
              </a:cubicBezTo>
              <a:lnTo>
                <a:pt x="200719" y="456179"/>
              </a:lnTo>
              <a:cubicBezTo>
                <a:pt x="198286" y="462261"/>
                <a:pt x="195492" y="468211"/>
                <a:pt x="193420" y="474426"/>
              </a:cubicBezTo>
              <a:cubicBezTo>
                <a:pt x="190987" y="481725"/>
                <a:pt x="188750" y="489092"/>
                <a:pt x="186121" y="496322"/>
              </a:cubicBezTo>
              <a:cubicBezTo>
                <a:pt x="183882" y="502478"/>
                <a:pt x="181002" y="508392"/>
                <a:pt x="178822" y="514569"/>
              </a:cubicBezTo>
              <a:cubicBezTo>
                <a:pt x="173701" y="529079"/>
                <a:pt x="164224" y="558363"/>
                <a:pt x="164224" y="558363"/>
              </a:cubicBezTo>
              <a:cubicBezTo>
                <a:pt x="163008" y="565662"/>
                <a:pt x="162522" y="573120"/>
                <a:pt x="160575" y="580259"/>
              </a:cubicBezTo>
              <a:cubicBezTo>
                <a:pt x="158851" y="586579"/>
                <a:pt x="155515" y="592350"/>
                <a:pt x="153276" y="598506"/>
              </a:cubicBezTo>
              <a:cubicBezTo>
                <a:pt x="150647" y="605737"/>
                <a:pt x="148410" y="613104"/>
                <a:pt x="145977" y="620403"/>
              </a:cubicBezTo>
              <a:cubicBezTo>
                <a:pt x="144761" y="624052"/>
                <a:pt x="143261" y="627619"/>
                <a:pt x="142328" y="631351"/>
              </a:cubicBezTo>
              <a:cubicBezTo>
                <a:pt x="141111" y="636217"/>
                <a:pt x="140119" y="641145"/>
                <a:pt x="138678" y="645949"/>
              </a:cubicBezTo>
              <a:cubicBezTo>
                <a:pt x="136467" y="653318"/>
                <a:pt x="133246" y="660381"/>
                <a:pt x="131380" y="667845"/>
              </a:cubicBezTo>
              <a:cubicBezTo>
                <a:pt x="129585" y="675024"/>
                <a:pt x="129711" y="682612"/>
                <a:pt x="127730" y="689742"/>
              </a:cubicBezTo>
              <a:cubicBezTo>
                <a:pt x="123612" y="704568"/>
                <a:pt x="113132" y="733535"/>
                <a:pt x="113132" y="733535"/>
              </a:cubicBezTo>
              <a:cubicBezTo>
                <a:pt x="111916" y="742050"/>
                <a:pt x="111569" y="750736"/>
                <a:pt x="109483" y="759081"/>
              </a:cubicBezTo>
              <a:cubicBezTo>
                <a:pt x="107894" y="765436"/>
                <a:pt x="103534" y="770918"/>
                <a:pt x="102184" y="777328"/>
              </a:cubicBezTo>
              <a:cubicBezTo>
                <a:pt x="85733" y="855468"/>
                <a:pt x="104407" y="804617"/>
                <a:pt x="87586" y="846667"/>
              </a:cubicBezTo>
              <a:cubicBezTo>
                <a:pt x="86199" y="853604"/>
                <a:pt x="84028" y="868384"/>
                <a:pt x="80288" y="875863"/>
              </a:cubicBezTo>
              <a:cubicBezTo>
                <a:pt x="78327" y="879786"/>
                <a:pt x="74770" y="882803"/>
                <a:pt x="72989" y="886811"/>
              </a:cubicBezTo>
              <a:cubicBezTo>
                <a:pt x="69864" y="893841"/>
                <a:pt x="65690" y="908707"/>
                <a:pt x="65690" y="908707"/>
              </a:cubicBezTo>
              <a:cubicBezTo>
                <a:pt x="64474" y="902625"/>
                <a:pt x="62810" y="896615"/>
                <a:pt x="62041" y="890460"/>
              </a:cubicBezTo>
              <a:cubicBezTo>
                <a:pt x="60374" y="877128"/>
                <a:pt x="59798" y="863679"/>
                <a:pt x="58391" y="850317"/>
              </a:cubicBezTo>
              <a:cubicBezTo>
                <a:pt x="57364" y="840563"/>
                <a:pt x="55958" y="830853"/>
                <a:pt x="54742" y="821121"/>
              </a:cubicBezTo>
              <a:cubicBezTo>
                <a:pt x="57175" y="778544"/>
                <a:pt x="56669" y="735697"/>
                <a:pt x="62041" y="693391"/>
              </a:cubicBezTo>
              <a:cubicBezTo>
                <a:pt x="66429" y="658834"/>
                <a:pt x="74367" y="624701"/>
                <a:pt x="83937" y="591207"/>
              </a:cubicBezTo>
              <a:cubicBezTo>
                <a:pt x="93457" y="557886"/>
                <a:pt x="101018" y="528627"/>
                <a:pt x="113132" y="496322"/>
              </a:cubicBezTo>
              <a:cubicBezTo>
                <a:pt x="128476" y="455405"/>
                <a:pt x="138252" y="439531"/>
                <a:pt x="156926" y="397788"/>
              </a:cubicBezTo>
              <a:cubicBezTo>
                <a:pt x="169385" y="369939"/>
                <a:pt x="182089" y="342178"/>
                <a:pt x="193420" y="313851"/>
              </a:cubicBezTo>
              <a:cubicBezTo>
                <a:pt x="198286" y="301686"/>
                <a:pt x="201888" y="288936"/>
                <a:pt x="208018" y="277357"/>
              </a:cubicBezTo>
              <a:cubicBezTo>
                <a:pt x="212914" y="268109"/>
                <a:pt x="220647" y="260640"/>
                <a:pt x="226265" y="251811"/>
              </a:cubicBezTo>
              <a:cubicBezTo>
                <a:pt x="237689" y="233858"/>
                <a:pt x="245260" y="213226"/>
                <a:pt x="259109" y="197069"/>
              </a:cubicBezTo>
              <a:cubicBezTo>
                <a:pt x="266408" y="188554"/>
                <a:pt x="274538" y="180686"/>
                <a:pt x="281006" y="171523"/>
              </a:cubicBezTo>
              <a:cubicBezTo>
                <a:pt x="325725" y="108173"/>
                <a:pt x="278979" y="149562"/>
                <a:pt x="353995" y="62041"/>
              </a:cubicBezTo>
              <a:cubicBezTo>
                <a:pt x="365781" y="48290"/>
                <a:pt x="371630" y="36801"/>
                <a:pt x="386839" y="29196"/>
              </a:cubicBezTo>
              <a:cubicBezTo>
                <a:pt x="390280" y="27475"/>
                <a:pt x="394138" y="26763"/>
                <a:pt x="397788" y="25546"/>
              </a:cubicBezTo>
              <a:cubicBezTo>
                <a:pt x="460341" y="41188"/>
                <a:pt x="368992" y="19464"/>
                <a:pt x="547414" y="32845"/>
              </a:cubicBezTo>
              <a:cubicBezTo>
                <a:pt x="551788" y="33173"/>
                <a:pt x="554439" y="38182"/>
                <a:pt x="558362" y="40144"/>
              </a:cubicBezTo>
              <a:cubicBezTo>
                <a:pt x="561803" y="41865"/>
                <a:pt x="565661" y="42577"/>
                <a:pt x="569311" y="43794"/>
              </a:cubicBezTo>
              <a:cubicBezTo>
                <a:pt x="571744" y="47443"/>
                <a:pt x="573801" y="51373"/>
                <a:pt x="576609" y="54742"/>
              </a:cubicBezTo>
              <a:cubicBezTo>
                <a:pt x="592994" y="74404"/>
                <a:pt x="583124" y="56360"/>
                <a:pt x="598506" y="80288"/>
              </a:cubicBezTo>
              <a:cubicBezTo>
                <a:pt x="598523" y="80315"/>
                <a:pt x="625869" y="125891"/>
                <a:pt x="631351" y="135029"/>
              </a:cubicBezTo>
              <a:cubicBezTo>
                <a:pt x="635000" y="141111"/>
                <a:pt x="638043" y="147601"/>
                <a:pt x="642299" y="153276"/>
              </a:cubicBezTo>
              <a:lnTo>
                <a:pt x="653247" y="167874"/>
              </a:lnTo>
              <a:cubicBezTo>
                <a:pt x="654464" y="172740"/>
                <a:pt x="654921" y="177862"/>
                <a:pt x="656897" y="182472"/>
              </a:cubicBezTo>
              <a:cubicBezTo>
                <a:pt x="658625" y="186503"/>
                <a:pt x="662117" y="189558"/>
                <a:pt x="664196" y="193420"/>
              </a:cubicBezTo>
              <a:cubicBezTo>
                <a:pt x="670644" y="205395"/>
                <a:pt x="677086" y="217413"/>
                <a:pt x="682443" y="229914"/>
              </a:cubicBezTo>
              <a:cubicBezTo>
                <a:pt x="723355" y="325377"/>
                <a:pt x="685541" y="244344"/>
                <a:pt x="722586" y="310202"/>
              </a:cubicBezTo>
              <a:cubicBezTo>
                <a:pt x="727920" y="319685"/>
                <a:pt x="731850" y="329914"/>
                <a:pt x="737184" y="339397"/>
              </a:cubicBezTo>
              <a:cubicBezTo>
                <a:pt x="742810" y="349399"/>
                <a:pt x="750030" y="358466"/>
                <a:pt x="755431" y="368592"/>
              </a:cubicBezTo>
              <a:cubicBezTo>
                <a:pt x="759791" y="376767"/>
                <a:pt x="762237" y="385852"/>
                <a:pt x="766380" y="394138"/>
              </a:cubicBezTo>
              <a:cubicBezTo>
                <a:pt x="770766" y="402910"/>
                <a:pt x="776462" y="410977"/>
                <a:pt x="780977" y="419684"/>
              </a:cubicBezTo>
              <a:cubicBezTo>
                <a:pt x="844697" y="542573"/>
                <a:pt x="796794" y="450557"/>
                <a:pt x="832069" y="525518"/>
              </a:cubicBezTo>
              <a:cubicBezTo>
                <a:pt x="836702" y="535363"/>
                <a:pt x="842306" y="544745"/>
                <a:pt x="846667" y="554713"/>
              </a:cubicBezTo>
              <a:cubicBezTo>
                <a:pt x="850833" y="564235"/>
                <a:pt x="853755" y="574259"/>
                <a:pt x="857615" y="583909"/>
              </a:cubicBezTo>
              <a:cubicBezTo>
                <a:pt x="861056" y="592511"/>
                <a:pt x="865123" y="600852"/>
                <a:pt x="868564" y="609454"/>
              </a:cubicBezTo>
              <a:cubicBezTo>
                <a:pt x="875087" y="625761"/>
                <a:pt x="885638" y="655099"/>
                <a:pt x="890460" y="671495"/>
              </a:cubicBezTo>
              <a:cubicBezTo>
                <a:pt x="899838" y="703379"/>
                <a:pt x="895064" y="696256"/>
                <a:pt x="905058" y="726236"/>
              </a:cubicBezTo>
              <a:cubicBezTo>
                <a:pt x="907130" y="732451"/>
                <a:pt x="910118" y="738326"/>
                <a:pt x="912357" y="744483"/>
              </a:cubicBezTo>
              <a:cubicBezTo>
                <a:pt x="914986" y="751714"/>
                <a:pt x="916214" y="759499"/>
                <a:pt x="919655" y="766380"/>
              </a:cubicBezTo>
              <a:cubicBezTo>
                <a:pt x="922088" y="771246"/>
                <a:pt x="924934" y="775926"/>
                <a:pt x="926954" y="780977"/>
              </a:cubicBezTo>
              <a:cubicBezTo>
                <a:pt x="939984" y="813550"/>
                <a:pt x="927509" y="792758"/>
                <a:pt x="941552" y="813822"/>
              </a:cubicBezTo>
              <a:cubicBezTo>
                <a:pt x="942768" y="821121"/>
                <a:pt x="943750" y="828463"/>
                <a:pt x="945201" y="835719"/>
              </a:cubicBezTo>
              <a:cubicBezTo>
                <a:pt x="946185" y="840637"/>
                <a:pt x="947867" y="845399"/>
                <a:pt x="948851" y="850317"/>
              </a:cubicBezTo>
              <a:cubicBezTo>
                <a:pt x="950302" y="857573"/>
                <a:pt x="951375" y="864900"/>
                <a:pt x="952500" y="872213"/>
              </a:cubicBezTo>
              <a:cubicBezTo>
                <a:pt x="953808" y="880715"/>
                <a:pt x="954463" y="889324"/>
                <a:pt x="956150" y="897759"/>
              </a:cubicBezTo>
              <a:cubicBezTo>
                <a:pt x="956904" y="901531"/>
                <a:pt x="958965" y="904952"/>
                <a:pt x="959799" y="908707"/>
              </a:cubicBezTo>
              <a:cubicBezTo>
                <a:pt x="961404" y="915930"/>
                <a:pt x="961844" y="923381"/>
                <a:pt x="963449" y="930604"/>
              </a:cubicBezTo>
              <a:cubicBezTo>
                <a:pt x="964283" y="934359"/>
                <a:pt x="966041" y="937853"/>
                <a:pt x="967098" y="941552"/>
              </a:cubicBezTo>
              <a:cubicBezTo>
                <a:pt x="968476" y="946375"/>
                <a:pt x="969369" y="951327"/>
                <a:pt x="970747" y="956150"/>
              </a:cubicBezTo>
              <a:cubicBezTo>
                <a:pt x="971804" y="959849"/>
                <a:pt x="973385" y="963387"/>
                <a:pt x="974397" y="967098"/>
              </a:cubicBezTo>
              <a:cubicBezTo>
                <a:pt x="977037" y="976776"/>
                <a:pt x="981696" y="986262"/>
                <a:pt x="981696" y="996294"/>
              </a:cubicBezTo>
              <a:lnTo>
                <a:pt x="981696" y="1047386"/>
              </a:lnTo>
            </a:path>
          </a:pathLst>
        </a:custGeom>
        <a:noFill/>
        <a:ln>
          <a:solidFill>
            <a:schemeClr val="accent4">
              <a:lumMod val="5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368593</xdr:colOff>
      <xdr:row>350</xdr:row>
      <xdr:rowOff>91236</xdr:rowOff>
    </xdr:from>
    <xdr:to>
      <xdr:col>8</xdr:col>
      <xdr:colOff>478075</xdr:colOff>
      <xdr:row>354</xdr:row>
      <xdr:rowOff>76638</xdr:rowOff>
    </xdr:to>
    <xdr:sp macro="" textlink="">
      <xdr:nvSpPr>
        <xdr:cNvPr id="60" name="Rounded Rectangle 59">
          <a:extLst>
            <a:ext uri="{FF2B5EF4-FFF2-40B4-BE49-F238E27FC236}">
              <a16:creationId xmlns:a16="http://schemas.microsoft.com/office/drawing/2014/main" id="{B0A76E11-8FD3-8485-63B5-0F079808E151}"/>
            </a:ext>
          </a:extLst>
        </xdr:cNvPr>
        <xdr:cNvSpPr/>
      </xdr:nvSpPr>
      <xdr:spPr>
        <a:xfrm>
          <a:off x="13505957328" y="80075690"/>
          <a:ext cx="934252" cy="82477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Wonder</a:t>
          </a:r>
        </a:p>
        <a:p>
          <a:pPr algn="r" rtl="1"/>
          <a:r>
            <a:rPr lang="en-US" sz="1100"/>
            <a:t>Woman</a:t>
          </a:r>
        </a:p>
      </xdr:txBody>
    </xdr:sp>
    <xdr:clientData/>
  </xdr:twoCellAnchor>
  <xdr:twoCellAnchor>
    <xdr:from>
      <xdr:col>7</xdr:col>
      <xdr:colOff>423333</xdr:colOff>
      <xdr:row>353</xdr:row>
      <xdr:rowOff>182471</xdr:rowOff>
    </xdr:from>
    <xdr:to>
      <xdr:col>8</xdr:col>
      <xdr:colOff>445230</xdr:colOff>
      <xdr:row>357</xdr:row>
      <xdr:rowOff>58391</xdr:rowOff>
    </xdr:to>
    <xdr:sp macro="" textlink="">
      <xdr:nvSpPr>
        <xdr:cNvPr id="61" name="Triangle 60">
          <a:extLst>
            <a:ext uri="{FF2B5EF4-FFF2-40B4-BE49-F238E27FC236}">
              <a16:creationId xmlns:a16="http://schemas.microsoft.com/office/drawing/2014/main" id="{8B95F60A-67AB-1820-579E-776411877E83}"/>
            </a:ext>
          </a:extLst>
        </xdr:cNvPr>
        <xdr:cNvSpPr/>
      </xdr:nvSpPr>
      <xdr:spPr>
        <a:xfrm>
          <a:off x="13505990173" y="80790977"/>
          <a:ext cx="846667" cy="726236"/>
        </a:xfrm>
        <a:prstGeom prst="triangl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718937</xdr:colOff>
      <xdr:row>347</xdr:row>
      <xdr:rowOff>21897</xdr:rowOff>
    </xdr:from>
    <xdr:to>
      <xdr:col>7</xdr:col>
      <xdr:colOff>368593</xdr:colOff>
      <xdr:row>352</xdr:row>
      <xdr:rowOff>83937</xdr:rowOff>
    </xdr:to>
    <xdr:cxnSp macro="">
      <xdr:nvCxnSpPr>
        <xdr:cNvPr id="63" name="Straight Connector 62">
          <a:extLst>
            <a:ext uri="{FF2B5EF4-FFF2-40B4-BE49-F238E27FC236}">
              <a16:creationId xmlns:a16="http://schemas.microsoft.com/office/drawing/2014/main" id="{AEDF91F8-C091-D658-0A7F-D76C184165AD}"/>
            </a:ext>
          </a:extLst>
        </xdr:cNvPr>
        <xdr:cNvCxnSpPr>
          <a:stCxn id="60" idx="3"/>
        </xdr:cNvCxnSpPr>
      </xdr:nvCxnSpPr>
      <xdr:spPr>
        <a:xfrm flipV="1">
          <a:off x="13506891580" y="79371351"/>
          <a:ext cx="602156" cy="1116724"/>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8</xdr:col>
      <xdr:colOff>478075</xdr:colOff>
      <xdr:row>347</xdr:row>
      <xdr:rowOff>32845</xdr:rowOff>
    </xdr:from>
    <xdr:to>
      <xdr:col>9</xdr:col>
      <xdr:colOff>91236</xdr:colOff>
      <xdr:row>352</xdr:row>
      <xdr:rowOff>83937</xdr:rowOff>
    </xdr:to>
    <xdr:cxnSp macro="">
      <xdr:nvCxnSpPr>
        <xdr:cNvPr id="64" name="Straight Connector 63">
          <a:extLst>
            <a:ext uri="{FF2B5EF4-FFF2-40B4-BE49-F238E27FC236}">
              <a16:creationId xmlns:a16="http://schemas.microsoft.com/office/drawing/2014/main" id="{214622DC-2164-A7EE-225E-119828EE732A}"/>
            </a:ext>
          </a:extLst>
        </xdr:cNvPr>
        <xdr:cNvCxnSpPr>
          <a:stCxn id="60" idx="1"/>
        </xdr:cNvCxnSpPr>
      </xdr:nvCxnSpPr>
      <xdr:spPr>
        <a:xfrm flipH="1" flipV="1">
          <a:off x="13505519397" y="79382299"/>
          <a:ext cx="437931" cy="1105776"/>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8</xdr:col>
      <xdr:colOff>197069</xdr:colOff>
      <xdr:row>356</xdr:row>
      <xdr:rowOff>138678</xdr:rowOff>
    </xdr:from>
    <xdr:to>
      <xdr:col>8</xdr:col>
      <xdr:colOff>799225</xdr:colOff>
      <xdr:row>362</xdr:row>
      <xdr:rowOff>29195</xdr:rowOff>
    </xdr:to>
    <xdr:cxnSp macro="">
      <xdr:nvCxnSpPr>
        <xdr:cNvPr id="67" name="Straight Connector 66">
          <a:extLst>
            <a:ext uri="{FF2B5EF4-FFF2-40B4-BE49-F238E27FC236}">
              <a16:creationId xmlns:a16="http://schemas.microsoft.com/office/drawing/2014/main" id="{AD0C0C2E-E102-0DB3-5809-7B58EEB20F1C}"/>
            </a:ext>
          </a:extLst>
        </xdr:cNvPr>
        <xdr:cNvCxnSpPr/>
      </xdr:nvCxnSpPr>
      <xdr:spPr>
        <a:xfrm flipV="1">
          <a:off x="13505636178" y="81393132"/>
          <a:ext cx="602156" cy="1116724"/>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7</xdr:col>
      <xdr:colOff>350345</xdr:colOff>
      <xdr:row>356</xdr:row>
      <xdr:rowOff>113132</xdr:rowOff>
    </xdr:from>
    <xdr:to>
      <xdr:col>7</xdr:col>
      <xdr:colOff>788276</xdr:colOff>
      <xdr:row>361</xdr:row>
      <xdr:rowOff>197069</xdr:rowOff>
    </xdr:to>
    <xdr:cxnSp macro="">
      <xdr:nvCxnSpPr>
        <xdr:cNvPr id="68" name="Straight Connector 67">
          <a:extLst>
            <a:ext uri="{FF2B5EF4-FFF2-40B4-BE49-F238E27FC236}">
              <a16:creationId xmlns:a16="http://schemas.microsoft.com/office/drawing/2014/main" id="{B5C030F3-04EB-6DD9-D649-406665DD6BFB}"/>
            </a:ext>
          </a:extLst>
        </xdr:cNvPr>
        <xdr:cNvCxnSpPr/>
      </xdr:nvCxnSpPr>
      <xdr:spPr>
        <a:xfrm flipH="1" flipV="1">
          <a:off x="13506471897" y="81367586"/>
          <a:ext cx="437931" cy="1105776"/>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7</xdr:col>
      <xdr:colOff>711639</xdr:colOff>
      <xdr:row>349</xdr:row>
      <xdr:rowOff>18247</xdr:rowOff>
    </xdr:from>
    <xdr:to>
      <xdr:col>8</xdr:col>
      <xdr:colOff>182472</xdr:colOff>
      <xdr:row>350</xdr:row>
      <xdr:rowOff>98534</xdr:rowOff>
    </xdr:to>
    <xdr:sp macro="" textlink="">
      <xdr:nvSpPr>
        <xdr:cNvPr id="69" name="Rounded Rectangle 68">
          <a:extLst>
            <a:ext uri="{FF2B5EF4-FFF2-40B4-BE49-F238E27FC236}">
              <a16:creationId xmlns:a16="http://schemas.microsoft.com/office/drawing/2014/main" id="{B1C6547D-0E28-B448-1822-4AE5FCA4A44C}"/>
            </a:ext>
          </a:extLst>
        </xdr:cNvPr>
        <xdr:cNvSpPr/>
      </xdr:nvSpPr>
      <xdr:spPr>
        <a:xfrm>
          <a:off x="13506252931" y="79787385"/>
          <a:ext cx="295603" cy="29560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1</xdr:col>
      <xdr:colOff>751807</xdr:colOff>
      <xdr:row>18</xdr:row>
      <xdr:rowOff>339799</xdr:rowOff>
    </xdr:from>
    <xdr:to>
      <xdr:col>2</xdr:col>
      <xdr:colOff>16990</xdr:colOff>
      <xdr:row>18</xdr:row>
      <xdr:rowOff>339799</xdr:rowOff>
    </xdr:to>
    <xdr:cxnSp macro="">
      <xdr:nvCxnSpPr>
        <xdr:cNvPr id="2" name="Straight Arrow Connector 1">
          <a:extLst>
            <a:ext uri="{FF2B5EF4-FFF2-40B4-BE49-F238E27FC236}">
              <a16:creationId xmlns:a16="http://schemas.microsoft.com/office/drawing/2014/main" id="{876AD644-E4B4-314F-B66E-31F77EDE1C49}"/>
            </a:ext>
          </a:extLst>
        </xdr:cNvPr>
        <xdr:cNvCxnSpPr/>
      </xdr:nvCxnSpPr>
      <xdr:spPr>
        <a:xfrm flipH="1">
          <a:off x="13524086010" y="25244499"/>
          <a:ext cx="204983" cy="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467226</xdr:colOff>
      <xdr:row>17</xdr:row>
      <xdr:rowOff>182642</xdr:rowOff>
    </xdr:from>
    <xdr:to>
      <xdr:col>6</xdr:col>
      <xdr:colOff>471473</xdr:colOff>
      <xdr:row>18</xdr:row>
      <xdr:rowOff>259097</xdr:rowOff>
    </xdr:to>
    <xdr:cxnSp macro="">
      <xdr:nvCxnSpPr>
        <xdr:cNvPr id="3" name="Straight Arrow Connector 2">
          <a:extLst>
            <a:ext uri="{FF2B5EF4-FFF2-40B4-BE49-F238E27FC236}">
              <a16:creationId xmlns:a16="http://schemas.microsoft.com/office/drawing/2014/main" id="{8CB3DD61-AAF7-7748-AA9B-F6F82382C6F4}"/>
            </a:ext>
          </a:extLst>
        </xdr:cNvPr>
        <xdr:cNvCxnSpPr/>
      </xdr:nvCxnSpPr>
      <xdr:spPr>
        <a:xfrm flipH="1">
          <a:off x="13519694527" y="24884142"/>
          <a:ext cx="4247" cy="27965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751807</xdr:colOff>
      <xdr:row>31</xdr:row>
      <xdr:rowOff>339799</xdr:rowOff>
    </xdr:from>
    <xdr:to>
      <xdr:col>2</xdr:col>
      <xdr:colOff>16990</xdr:colOff>
      <xdr:row>31</xdr:row>
      <xdr:rowOff>339799</xdr:rowOff>
    </xdr:to>
    <xdr:cxnSp macro="">
      <xdr:nvCxnSpPr>
        <xdr:cNvPr id="4" name="Straight Arrow Connector 3">
          <a:extLst>
            <a:ext uri="{FF2B5EF4-FFF2-40B4-BE49-F238E27FC236}">
              <a16:creationId xmlns:a16="http://schemas.microsoft.com/office/drawing/2014/main" id="{79541C29-2EBD-E648-857C-4EEA26B201D2}"/>
            </a:ext>
          </a:extLst>
        </xdr:cNvPr>
        <xdr:cNvCxnSpPr/>
      </xdr:nvCxnSpPr>
      <xdr:spPr>
        <a:xfrm flipH="1">
          <a:off x="13568552575" y="3376756"/>
          <a:ext cx="93444" cy="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467226</xdr:colOff>
      <xdr:row>30</xdr:row>
      <xdr:rowOff>182642</xdr:rowOff>
    </xdr:from>
    <xdr:to>
      <xdr:col>6</xdr:col>
      <xdr:colOff>471473</xdr:colOff>
      <xdr:row>31</xdr:row>
      <xdr:rowOff>259097</xdr:rowOff>
    </xdr:to>
    <xdr:cxnSp macro="">
      <xdr:nvCxnSpPr>
        <xdr:cNvPr id="5" name="Straight Arrow Connector 4">
          <a:extLst>
            <a:ext uri="{FF2B5EF4-FFF2-40B4-BE49-F238E27FC236}">
              <a16:creationId xmlns:a16="http://schemas.microsoft.com/office/drawing/2014/main" id="{87973C10-E873-4945-A1CF-F4BDA7CDC718}"/>
            </a:ext>
          </a:extLst>
        </xdr:cNvPr>
        <xdr:cNvCxnSpPr/>
      </xdr:nvCxnSpPr>
      <xdr:spPr>
        <a:xfrm flipH="1">
          <a:off x="13564785049" y="3017135"/>
          <a:ext cx="4247" cy="27891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editAs="oneCell">
    <xdr:from>
      <xdr:col>0</xdr:col>
      <xdr:colOff>0</xdr:colOff>
      <xdr:row>52</xdr:row>
      <xdr:rowOff>0</xdr:rowOff>
    </xdr:from>
    <xdr:to>
      <xdr:col>7</xdr:col>
      <xdr:colOff>355600</xdr:colOff>
      <xdr:row>96</xdr:row>
      <xdr:rowOff>190500</xdr:rowOff>
    </xdr:to>
    <xdr:pic>
      <xdr:nvPicPr>
        <xdr:cNvPr id="6" name="Picture 5">
          <a:extLst>
            <a:ext uri="{FF2B5EF4-FFF2-40B4-BE49-F238E27FC236}">
              <a16:creationId xmlns:a16="http://schemas.microsoft.com/office/drawing/2014/main" id="{85CC4605-F206-46C7-6979-776944427ED6}"/>
            </a:ext>
          </a:extLst>
        </xdr:cNvPr>
        <xdr:cNvPicPr>
          <a:picLocks noChangeAspect="1"/>
        </xdr:cNvPicPr>
      </xdr:nvPicPr>
      <xdr:blipFill>
        <a:blip xmlns:r="http://schemas.openxmlformats.org/officeDocument/2006/relationships" r:embed="rId1"/>
        <a:stretch>
          <a:fillRect/>
        </a:stretch>
      </xdr:blipFill>
      <xdr:spPr>
        <a:xfrm>
          <a:off x="13518857900" y="11430000"/>
          <a:ext cx="6134100" cy="913130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6</xdr:col>
      <xdr:colOff>520700</xdr:colOff>
      <xdr:row>101</xdr:row>
      <xdr:rowOff>184150</xdr:rowOff>
    </xdr:from>
    <xdr:to>
      <xdr:col>7</xdr:col>
      <xdr:colOff>44450</xdr:colOff>
      <xdr:row>104</xdr:row>
      <xdr:rowOff>88900</xdr:rowOff>
    </xdr:to>
    <xdr:cxnSp macro="">
      <xdr:nvCxnSpPr>
        <xdr:cNvPr id="3" name="Straight Arrow Connector 2">
          <a:extLst>
            <a:ext uri="{FF2B5EF4-FFF2-40B4-BE49-F238E27FC236}">
              <a16:creationId xmlns:a16="http://schemas.microsoft.com/office/drawing/2014/main" id="{BF412974-50F0-1447-9302-E337F783EB12}"/>
            </a:ext>
          </a:extLst>
        </xdr:cNvPr>
        <xdr:cNvCxnSpPr/>
      </xdr:nvCxnSpPr>
      <xdr:spPr>
        <a:xfrm>
          <a:off x="13519169050" y="20707350"/>
          <a:ext cx="349250" cy="514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563108</xdr:colOff>
      <xdr:row>101</xdr:row>
      <xdr:rowOff>137969</xdr:rowOff>
    </xdr:from>
    <xdr:to>
      <xdr:col>6</xdr:col>
      <xdr:colOff>711406</xdr:colOff>
      <xdr:row>103</xdr:row>
      <xdr:rowOff>176069</xdr:rowOff>
    </xdr:to>
    <xdr:sp macro="" textlink="">
      <xdr:nvSpPr>
        <xdr:cNvPr id="4" name="TextBox 3">
          <a:extLst>
            <a:ext uri="{FF2B5EF4-FFF2-40B4-BE49-F238E27FC236}">
              <a16:creationId xmlns:a16="http://schemas.microsoft.com/office/drawing/2014/main" id="{0B6BB413-EC39-5643-8D53-9E0F91D04EF9}"/>
            </a:ext>
          </a:extLst>
        </xdr:cNvPr>
        <xdr:cNvSpPr txBox="1"/>
      </xdr:nvSpPr>
      <xdr:spPr>
        <a:xfrm rot="3102829">
          <a:off x="13519179493" y="20809270"/>
          <a:ext cx="444500" cy="14829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700"/>
            <a:t>איפוס</a:t>
          </a:r>
          <a:endParaRPr lang="en-US" sz="700"/>
        </a:p>
      </xdr:txBody>
    </xdr:sp>
    <xdr:clientData/>
  </xdr:twoCellAnchor>
  <xdr:twoCellAnchor>
    <xdr:from>
      <xdr:col>6</xdr:col>
      <xdr:colOff>565150</xdr:colOff>
      <xdr:row>104</xdr:row>
      <xdr:rowOff>171450</xdr:rowOff>
    </xdr:from>
    <xdr:to>
      <xdr:col>7</xdr:col>
      <xdr:colOff>25400</xdr:colOff>
      <xdr:row>105</xdr:row>
      <xdr:rowOff>133350</xdr:rowOff>
    </xdr:to>
    <xdr:cxnSp macro="">
      <xdr:nvCxnSpPr>
        <xdr:cNvPr id="5" name="Straight Arrow Connector 4">
          <a:extLst>
            <a:ext uri="{FF2B5EF4-FFF2-40B4-BE49-F238E27FC236}">
              <a16:creationId xmlns:a16="http://schemas.microsoft.com/office/drawing/2014/main" id="{B8BB70A5-FBE6-944C-AD4A-3295B41E9D19}"/>
            </a:ext>
          </a:extLst>
        </xdr:cNvPr>
        <xdr:cNvCxnSpPr/>
      </xdr:nvCxnSpPr>
      <xdr:spPr>
        <a:xfrm flipH="1" flipV="1">
          <a:off x="13519188100" y="21304250"/>
          <a:ext cx="285750" cy="165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508659</xdr:colOff>
      <xdr:row>105</xdr:row>
      <xdr:rowOff>97663</xdr:rowOff>
    </xdr:from>
    <xdr:to>
      <xdr:col>7</xdr:col>
      <xdr:colOff>62220</xdr:colOff>
      <xdr:row>106</xdr:row>
      <xdr:rowOff>74305</xdr:rowOff>
    </xdr:to>
    <xdr:sp macro="" textlink="">
      <xdr:nvSpPr>
        <xdr:cNvPr id="8" name="TextBox 7">
          <a:extLst>
            <a:ext uri="{FF2B5EF4-FFF2-40B4-BE49-F238E27FC236}">
              <a16:creationId xmlns:a16="http://schemas.microsoft.com/office/drawing/2014/main" id="{D639EE83-F5E1-F840-971F-89269A9599FD}"/>
            </a:ext>
          </a:extLst>
        </xdr:cNvPr>
        <xdr:cNvSpPr txBox="1"/>
      </xdr:nvSpPr>
      <xdr:spPr>
        <a:xfrm rot="1827861">
          <a:off x="13519151280" y="21433663"/>
          <a:ext cx="379061" cy="17984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700"/>
            <a:t>יצירה</a:t>
          </a:r>
          <a:endParaRPr lang="en-US" sz="700"/>
        </a:p>
      </xdr:txBody>
    </xdr:sp>
    <xdr:clientData/>
  </xdr:twoCellAnchor>
  <xdr:twoCellAnchor>
    <xdr:from>
      <xdr:col>2</xdr:col>
      <xdr:colOff>12700</xdr:colOff>
      <xdr:row>132</xdr:row>
      <xdr:rowOff>152400</xdr:rowOff>
    </xdr:from>
    <xdr:to>
      <xdr:col>3</xdr:col>
      <xdr:colOff>793750</xdr:colOff>
      <xdr:row>132</xdr:row>
      <xdr:rowOff>158750</xdr:rowOff>
    </xdr:to>
    <xdr:cxnSp macro="">
      <xdr:nvCxnSpPr>
        <xdr:cNvPr id="9" name="Straight Arrow Connector 8">
          <a:extLst>
            <a:ext uri="{FF2B5EF4-FFF2-40B4-BE49-F238E27FC236}">
              <a16:creationId xmlns:a16="http://schemas.microsoft.com/office/drawing/2014/main" id="{1646E7F6-133B-2543-9C16-1C58A4E2B59A}"/>
            </a:ext>
          </a:extLst>
        </xdr:cNvPr>
        <xdr:cNvCxnSpPr/>
      </xdr:nvCxnSpPr>
      <xdr:spPr>
        <a:xfrm flipH="1" flipV="1">
          <a:off x="13521721750" y="25971500"/>
          <a:ext cx="1606550"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19050</xdr:colOff>
      <xdr:row>137</xdr:row>
      <xdr:rowOff>158750</xdr:rowOff>
    </xdr:from>
    <xdr:to>
      <xdr:col>3</xdr:col>
      <xdr:colOff>812800</xdr:colOff>
      <xdr:row>137</xdr:row>
      <xdr:rowOff>177800</xdr:rowOff>
    </xdr:to>
    <xdr:cxnSp macro="">
      <xdr:nvCxnSpPr>
        <xdr:cNvPr id="10" name="Straight Arrow Connector 9">
          <a:extLst>
            <a:ext uri="{FF2B5EF4-FFF2-40B4-BE49-F238E27FC236}">
              <a16:creationId xmlns:a16="http://schemas.microsoft.com/office/drawing/2014/main" id="{6098E9DD-1C20-6C4B-806D-29246A8177AF}"/>
            </a:ext>
          </a:extLst>
        </xdr:cNvPr>
        <xdr:cNvCxnSpPr/>
      </xdr:nvCxnSpPr>
      <xdr:spPr>
        <a:xfrm flipH="1">
          <a:off x="13521702700" y="28111450"/>
          <a:ext cx="1619250" cy="190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12700</xdr:colOff>
      <xdr:row>168</xdr:row>
      <xdr:rowOff>152400</xdr:rowOff>
    </xdr:from>
    <xdr:to>
      <xdr:col>3</xdr:col>
      <xdr:colOff>793750</xdr:colOff>
      <xdr:row>168</xdr:row>
      <xdr:rowOff>158750</xdr:rowOff>
    </xdr:to>
    <xdr:cxnSp macro="">
      <xdr:nvCxnSpPr>
        <xdr:cNvPr id="12" name="Straight Arrow Connector 11">
          <a:extLst>
            <a:ext uri="{FF2B5EF4-FFF2-40B4-BE49-F238E27FC236}">
              <a16:creationId xmlns:a16="http://schemas.microsoft.com/office/drawing/2014/main" id="{5EF04264-F1A6-DF4F-9DF4-8E486E7615F0}"/>
            </a:ext>
          </a:extLst>
        </xdr:cNvPr>
        <xdr:cNvCxnSpPr/>
      </xdr:nvCxnSpPr>
      <xdr:spPr>
        <a:xfrm flipH="1" flipV="1">
          <a:off x="13521721750" y="27038300"/>
          <a:ext cx="1606550"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19050</xdr:colOff>
      <xdr:row>173</xdr:row>
      <xdr:rowOff>158750</xdr:rowOff>
    </xdr:from>
    <xdr:to>
      <xdr:col>3</xdr:col>
      <xdr:colOff>812800</xdr:colOff>
      <xdr:row>173</xdr:row>
      <xdr:rowOff>177800</xdr:rowOff>
    </xdr:to>
    <xdr:cxnSp macro="">
      <xdr:nvCxnSpPr>
        <xdr:cNvPr id="13" name="Straight Arrow Connector 12">
          <a:extLst>
            <a:ext uri="{FF2B5EF4-FFF2-40B4-BE49-F238E27FC236}">
              <a16:creationId xmlns:a16="http://schemas.microsoft.com/office/drawing/2014/main" id="{8A190C16-1C4C-E44F-BCEB-BB66C3441F17}"/>
            </a:ext>
          </a:extLst>
        </xdr:cNvPr>
        <xdr:cNvCxnSpPr/>
      </xdr:nvCxnSpPr>
      <xdr:spPr>
        <a:xfrm flipH="1">
          <a:off x="13521702700" y="28111450"/>
          <a:ext cx="1619250" cy="190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12700</xdr:colOff>
      <xdr:row>199</xdr:row>
      <xdr:rowOff>152400</xdr:rowOff>
    </xdr:from>
    <xdr:to>
      <xdr:col>3</xdr:col>
      <xdr:colOff>793750</xdr:colOff>
      <xdr:row>199</xdr:row>
      <xdr:rowOff>158750</xdr:rowOff>
    </xdr:to>
    <xdr:cxnSp macro="">
      <xdr:nvCxnSpPr>
        <xdr:cNvPr id="14" name="Straight Arrow Connector 13">
          <a:extLst>
            <a:ext uri="{FF2B5EF4-FFF2-40B4-BE49-F238E27FC236}">
              <a16:creationId xmlns:a16="http://schemas.microsoft.com/office/drawing/2014/main" id="{1FF802F8-072E-1A41-AFB9-F5BDA9F1AF56}"/>
            </a:ext>
          </a:extLst>
        </xdr:cNvPr>
        <xdr:cNvCxnSpPr/>
      </xdr:nvCxnSpPr>
      <xdr:spPr>
        <a:xfrm flipH="1" flipV="1">
          <a:off x="13521721750" y="34455100"/>
          <a:ext cx="1606550"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19050</xdr:colOff>
      <xdr:row>204</xdr:row>
      <xdr:rowOff>158750</xdr:rowOff>
    </xdr:from>
    <xdr:to>
      <xdr:col>3</xdr:col>
      <xdr:colOff>812800</xdr:colOff>
      <xdr:row>204</xdr:row>
      <xdr:rowOff>177800</xdr:rowOff>
    </xdr:to>
    <xdr:cxnSp macro="">
      <xdr:nvCxnSpPr>
        <xdr:cNvPr id="15" name="Straight Arrow Connector 14">
          <a:extLst>
            <a:ext uri="{FF2B5EF4-FFF2-40B4-BE49-F238E27FC236}">
              <a16:creationId xmlns:a16="http://schemas.microsoft.com/office/drawing/2014/main" id="{1E430D0F-12F7-F844-BB48-44AA3175A1D7}"/>
            </a:ext>
          </a:extLst>
        </xdr:cNvPr>
        <xdr:cNvCxnSpPr/>
      </xdr:nvCxnSpPr>
      <xdr:spPr>
        <a:xfrm flipH="1">
          <a:off x="13521702700" y="35528250"/>
          <a:ext cx="1619250" cy="190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12700</xdr:colOff>
      <xdr:row>231</xdr:row>
      <xdr:rowOff>152400</xdr:rowOff>
    </xdr:from>
    <xdr:to>
      <xdr:col>3</xdr:col>
      <xdr:colOff>793750</xdr:colOff>
      <xdr:row>231</xdr:row>
      <xdr:rowOff>158750</xdr:rowOff>
    </xdr:to>
    <xdr:cxnSp macro="">
      <xdr:nvCxnSpPr>
        <xdr:cNvPr id="16" name="Straight Arrow Connector 15">
          <a:extLst>
            <a:ext uri="{FF2B5EF4-FFF2-40B4-BE49-F238E27FC236}">
              <a16:creationId xmlns:a16="http://schemas.microsoft.com/office/drawing/2014/main" id="{EA3A189E-1B68-2D47-9050-5A345E51FEA7}"/>
            </a:ext>
          </a:extLst>
        </xdr:cNvPr>
        <xdr:cNvCxnSpPr/>
      </xdr:nvCxnSpPr>
      <xdr:spPr>
        <a:xfrm flipH="1" flipV="1">
          <a:off x="13521721750" y="40855900"/>
          <a:ext cx="1606550"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19050</xdr:colOff>
      <xdr:row>236</xdr:row>
      <xdr:rowOff>158750</xdr:rowOff>
    </xdr:from>
    <xdr:to>
      <xdr:col>3</xdr:col>
      <xdr:colOff>812800</xdr:colOff>
      <xdr:row>236</xdr:row>
      <xdr:rowOff>177800</xdr:rowOff>
    </xdr:to>
    <xdr:cxnSp macro="">
      <xdr:nvCxnSpPr>
        <xdr:cNvPr id="17" name="Straight Arrow Connector 16">
          <a:extLst>
            <a:ext uri="{FF2B5EF4-FFF2-40B4-BE49-F238E27FC236}">
              <a16:creationId xmlns:a16="http://schemas.microsoft.com/office/drawing/2014/main" id="{BF72FE29-A9AD-5041-ABDB-FBF71312D9B2}"/>
            </a:ext>
          </a:extLst>
        </xdr:cNvPr>
        <xdr:cNvCxnSpPr/>
      </xdr:nvCxnSpPr>
      <xdr:spPr>
        <a:xfrm flipH="1">
          <a:off x="13521702700" y="41929050"/>
          <a:ext cx="1619250" cy="190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17558</xdr:colOff>
      <xdr:row>1</xdr:row>
      <xdr:rowOff>46820</xdr:rowOff>
    </xdr:from>
    <xdr:to>
      <xdr:col>4</xdr:col>
      <xdr:colOff>361629</xdr:colOff>
      <xdr:row>24</xdr:row>
      <xdr:rowOff>88315</xdr:rowOff>
    </xdr:to>
    <xdr:pic>
      <xdr:nvPicPr>
        <xdr:cNvPr id="2" name="Picture 1">
          <a:extLst>
            <a:ext uri="{FF2B5EF4-FFF2-40B4-BE49-F238E27FC236}">
              <a16:creationId xmlns:a16="http://schemas.microsoft.com/office/drawing/2014/main" id="{DC6040D6-665F-32A6-0049-7EBB2F346D10}"/>
            </a:ext>
          </a:extLst>
        </xdr:cNvPr>
        <xdr:cNvPicPr>
          <a:picLocks noChangeAspect="1"/>
        </xdr:cNvPicPr>
      </xdr:nvPicPr>
      <xdr:blipFill>
        <a:blip xmlns:r="http://schemas.openxmlformats.org/officeDocument/2006/relationships" r:embed="rId1"/>
        <a:stretch>
          <a:fillRect/>
        </a:stretch>
      </xdr:blipFill>
      <xdr:spPr>
        <a:xfrm>
          <a:off x="13516535146" y="251659"/>
          <a:ext cx="3644900" cy="4787900"/>
        </a:xfrm>
        <a:prstGeom prst="rect">
          <a:avLst/>
        </a:prstGeom>
      </xdr:spPr>
    </xdr:pic>
    <xdr:clientData/>
  </xdr:twoCellAnchor>
  <xdr:twoCellAnchor>
    <xdr:from>
      <xdr:col>8</xdr:col>
      <xdr:colOff>20815</xdr:colOff>
      <xdr:row>6</xdr:row>
      <xdr:rowOff>196252</xdr:rowOff>
    </xdr:from>
    <xdr:to>
      <xdr:col>9</xdr:col>
      <xdr:colOff>738394</xdr:colOff>
      <xdr:row>6</xdr:row>
      <xdr:rowOff>201947</xdr:rowOff>
    </xdr:to>
    <xdr:cxnSp macro="">
      <xdr:nvCxnSpPr>
        <xdr:cNvPr id="3" name="Straight Arrow Connector 2">
          <a:extLst>
            <a:ext uri="{FF2B5EF4-FFF2-40B4-BE49-F238E27FC236}">
              <a16:creationId xmlns:a16="http://schemas.microsoft.com/office/drawing/2014/main" id="{068237D5-AF2B-774F-AAD3-B8E7D53FDE68}"/>
            </a:ext>
          </a:extLst>
        </xdr:cNvPr>
        <xdr:cNvCxnSpPr/>
      </xdr:nvCxnSpPr>
      <xdr:spPr>
        <a:xfrm flipH="1">
          <a:off x="13521777106" y="11397652"/>
          <a:ext cx="1543079" cy="56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0</xdr:colOff>
      <xdr:row>41</xdr:row>
      <xdr:rowOff>198987</xdr:rowOff>
    </xdr:from>
    <xdr:to>
      <xdr:col>4</xdr:col>
      <xdr:colOff>636171</xdr:colOff>
      <xdr:row>65</xdr:row>
      <xdr:rowOff>10242</xdr:rowOff>
    </xdr:to>
    <xdr:pic>
      <xdr:nvPicPr>
        <xdr:cNvPr id="5" name="Picture 4">
          <a:extLst>
            <a:ext uri="{FF2B5EF4-FFF2-40B4-BE49-F238E27FC236}">
              <a16:creationId xmlns:a16="http://schemas.microsoft.com/office/drawing/2014/main" id="{1B7B200C-61B2-EB9F-C72A-35EAA4C6C628}"/>
            </a:ext>
          </a:extLst>
        </xdr:cNvPr>
        <xdr:cNvPicPr>
          <a:picLocks noChangeAspect="1"/>
        </xdr:cNvPicPr>
      </xdr:nvPicPr>
      <xdr:blipFill>
        <a:blip xmlns:r="http://schemas.openxmlformats.org/officeDocument/2006/relationships" r:embed="rId2"/>
        <a:stretch>
          <a:fillRect/>
        </a:stretch>
      </xdr:blipFill>
      <xdr:spPr>
        <a:xfrm>
          <a:off x="13516260604" y="8632489"/>
          <a:ext cx="3937000" cy="4762500"/>
        </a:xfrm>
        <a:prstGeom prst="rect">
          <a:avLst/>
        </a:prstGeom>
      </xdr:spPr>
    </xdr:pic>
    <xdr:clientData/>
  </xdr:twoCellAnchor>
  <xdr:twoCellAnchor>
    <xdr:from>
      <xdr:col>8</xdr:col>
      <xdr:colOff>20815</xdr:colOff>
      <xdr:row>50</xdr:row>
      <xdr:rowOff>196252</xdr:rowOff>
    </xdr:from>
    <xdr:to>
      <xdr:col>9</xdr:col>
      <xdr:colOff>738394</xdr:colOff>
      <xdr:row>50</xdr:row>
      <xdr:rowOff>201947</xdr:rowOff>
    </xdr:to>
    <xdr:cxnSp macro="">
      <xdr:nvCxnSpPr>
        <xdr:cNvPr id="6" name="Straight Arrow Connector 5">
          <a:extLst>
            <a:ext uri="{FF2B5EF4-FFF2-40B4-BE49-F238E27FC236}">
              <a16:creationId xmlns:a16="http://schemas.microsoft.com/office/drawing/2014/main" id="{7B0F8DC7-4B66-F547-8FF2-774B65554832}"/>
            </a:ext>
          </a:extLst>
        </xdr:cNvPr>
        <xdr:cNvCxnSpPr/>
      </xdr:nvCxnSpPr>
      <xdr:spPr>
        <a:xfrm flipH="1">
          <a:off x="13512032344" y="1448694"/>
          <a:ext cx="1542786" cy="56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9.xml><?xml version="1.0" encoding="utf-8"?>
<xdr:wsDr xmlns:xdr="http://schemas.openxmlformats.org/drawingml/2006/spreadsheetDrawing" xmlns:a="http://schemas.openxmlformats.org/drawingml/2006/main">
  <xdr:twoCellAnchor editAs="oneCell">
    <xdr:from>
      <xdr:col>5</xdr:col>
      <xdr:colOff>558873</xdr:colOff>
      <xdr:row>59</xdr:row>
      <xdr:rowOff>60325</xdr:rowOff>
    </xdr:from>
    <xdr:to>
      <xdr:col>7</xdr:col>
      <xdr:colOff>747329</xdr:colOff>
      <xdr:row>66</xdr:row>
      <xdr:rowOff>191674</xdr:rowOff>
    </xdr:to>
    <xdr:pic>
      <xdr:nvPicPr>
        <xdr:cNvPr id="2" name="Picture 1">
          <a:extLst>
            <a:ext uri="{FF2B5EF4-FFF2-40B4-BE49-F238E27FC236}">
              <a16:creationId xmlns:a16="http://schemas.microsoft.com/office/drawing/2014/main" id="{ED062883-8C32-3A4F-8B98-E23A11A0061C}"/>
            </a:ext>
          </a:extLst>
        </xdr:cNvPr>
        <xdr:cNvPicPr>
          <a:picLocks noChangeAspect="1"/>
        </xdr:cNvPicPr>
      </xdr:nvPicPr>
      <xdr:blipFill>
        <a:blip xmlns:r="http://schemas.openxmlformats.org/officeDocument/2006/relationships" r:embed="rId1"/>
        <a:stretch>
          <a:fillRect/>
        </a:stretch>
      </xdr:blipFill>
      <xdr:spPr>
        <a:xfrm>
          <a:off x="13518466171" y="12188825"/>
          <a:ext cx="1839456" cy="1553749"/>
        </a:xfrm>
        <a:prstGeom prst="rect">
          <a:avLst/>
        </a:prstGeom>
      </xdr:spPr>
    </xdr:pic>
    <xdr:clientData/>
  </xdr:twoCellAnchor>
  <xdr:oneCellAnchor>
    <xdr:from>
      <xdr:col>2</xdr:col>
      <xdr:colOff>400050</xdr:colOff>
      <xdr:row>69</xdr:row>
      <xdr:rowOff>171450</xdr:rowOff>
    </xdr:from>
    <xdr:ext cx="3308468" cy="318036"/>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139B1438-D463-8741-9E9F-72716654B122}"/>
                </a:ext>
              </a:extLst>
            </xdr:cNvPr>
            <xdr:cNvSpPr txBox="1"/>
          </xdr:nvSpPr>
          <xdr:spPr>
            <a:xfrm>
              <a:off x="13519632482" y="10560050"/>
              <a:ext cx="330846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r>
                      <a:rPr lang="en-US" sz="1100" b="0" i="1">
                        <a:latin typeface="Cambria Math" panose="02040503050406030204" pitchFamily="18" charset="0"/>
                      </a:rPr>
                      <m:t>=</m:t>
                    </m:r>
                    <m:f>
                      <m:fPr>
                        <m:ctrlPr>
                          <a:rPr lang="he-IL" sz="1100" b="0" i="1">
                            <a:latin typeface="Cambria Math" panose="02040503050406030204" pitchFamily="18" charset="0"/>
                          </a:rPr>
                        </m:ctrlPr>
                      </m:fPr>
                      <m:num>
                        <m:sSub>
                          <m:sSubPr>
                            <m:ctrlPr>
                              <a:rPr lang="en-US" sz="1100" b="0" i="1">
                                <a:solidFill>
                                  <a:srgbClr val="FF0000"/>
                                </a:solidFill>
                                <a:latin typeface="Cambria Math" panose="02040503050406030204" pitchFamily="18" charset="0"/>
                              </a:rPr>
                            </m:ctrlPr>
                          </m:sSubPr>
                          <m:e>
                            <m:r>
                              <a:rPr lang="en-US" sz="1100" b="0" i="1">
                                <a:solidFill>
                                  <a:srgbClr val="FF0000"/>
                                </a:solidFill>
                                <a:latin typeface="Cambria Math" panose="02040503050406030204" pitchFamily="18" charset="0"/>
                              </a:rPr>
                              <m:t>𝐼</m:t>
                            </m:r>
                          </m:e>
                          <m:sub>
                            <m:r>
                              <a:rPr lang="en-US" sz="1100" b="0" i="1">
                                <a:solidFill>
                                  <a:srgbClr val="FF0000"/>
                                </a:solidFill>
                                <a:latin typeface="Cambria Math" panose="02040503050406030204" pitchFamily="18" charset="0"/>
                              </a:rPr>
                              <m:t>0</m:t>
                            </m:r>
                          </m:sub>
                        </m:sSub>
                        <m:r>
                          <a:rPr lang="en-US" sz="1100" b="0" i="1">
                            <a:latin typeface="Cambria Math" panose="02040503050406030204" pitchFamily="18" charset="0"/>
                          </a:rPr>
                          <m:t>−</m:t>
                        </m:r>
                        <m:sSub>
                          <m:sSubPr>
                            <m:ctrlPr>
                              <a:rPr lang="en-US" sz="1100" b="0" i="1">
                                <a:solidFill>
                                  <a:srgbClr val="00B0F0"/>
                                </a:solidFill>
                                <a:latin typeface="Cambria Math" panose="02040503050406030204" pitchFamily="18" charset="0"/>
                              </a:rPr>
                            </m:ctrlPr>
                          </m:sSubPr>
                          <m:e>
                            <m:r>
                              <a:rPr lang="en-US" sz="1100" b="0" i="1">
                                <a:solidFill>
                                  <a:srgbClr val="00B0F0"/>
                                </a:solidFill>
                                <a:latin typeface="Cambria Math" panose="02040503050406030204" pitchFamily="18" charset="0"/>
                              </a:rPr>
                              <m:t>𝐼</m:t>
                            </m:r>
                          </m:e>
                          <m:sub>
                            <m:r>
                              <a:rPr lang="en-US" sz="1100" b="0" i="1">
                                <a:solidFill>
                                  <a:srgbClr val="00B0F0"/>
                                </a:solidFill>
                                <a:latin typeface="Cambria Math" panose="02040503050406030204" pitchFamily="18" charset="0"/>
                              </a:rPr>
                              <m:t>𝐺</m:t>
                            </m:r>
                          </m:sub>
                        </m:sSub>
                      </m:num>
                      <m:den>
                        <m:r>
                          <a:rPr lang="en-US" sz="1100" b="0" i="1">
                            <a:solidFill>
                              <a:srgbClr val="00B050"/>
                            </a:solidFill>
                            <a:latin typeface="Cambria Math" panose="02040503050406030204" pitchFamily="18" charset="0"/>
                          </a:rPr>
                          <m:t>𝑛</m:t>
                        </m:r>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solidFill>
                              <a:srgbClr val="FF0000"/>
                            </a:solidFill>
                            <a:latin typeface="Cambria Math" panose="02040503050406030204" pitchFamily="18" charset="0"/>
                          </a:rPr>
                          <m:t>100,000</m:t>
                        </m:r>
                        <m:r>
                          <a:rPr lang="he-IL" sz="1100" b="0" i="1">
                            <a:latin typeface="Cambria Math" panose="02040503050406030204" pitchFamily="18" charset="0"/>
                          </a:rPr>
                          <m:t>−</m:t>
                        </m:r>
                        <m:r>
                          <a:rPr lang="he-IL" sz="1100" b="0" i="1">
                            <a:solidFill>
                              <a:srgbClr val="00B0F0"/>
                            </a:solidFill>
                            <a:latin typeface="Cambria Math" panose="02040503050406030204" pitchFamily="18" charset="0"/>
                          </a:rPr>
                          <m:t>0</m:t>
                        </m:r>
                      </m:num>
                      <m:den>
                        <m:r>
                          <a:rPr lang="he-IL" sz="1100" b="0" i="1">
                            <a:solidFill>
                              <a:srgbClr val="00B050"/>
                            </a:solidFill>
                            <a:latin typeface="Cambria Math" panose="02040503050406030204" pitchFamily="18" charset="0"/>
                          </a:rPr>
                          <m:t>10</m:t>
                        </m:r>
                      </m:den>
                    </m:f>
                    <m:r>
                      <a:rPr lang="he-IL" sz="1100" b="0" i="1">
                        <a:latin typeface="Cambria Math" panose="02040503050406030204" pitchFamily="18" charset="0"/>
                      </a:rPr>
                      <m:t>=10,000</m:t>
                    </m:r>
                  </m:oMath>
                </m:oMathPara>
              </a14:m>
              <a:endParaRPr lang="en-US" sz="1100"/>
            </a:p>
          </xdr:txBody>
        </xdr:sp>
      </mc:Choice>
      <mc:Fallback xmlns="">
        <xdr:sp macro="" textlink="">
          <xdr:nvSpPr>
            <xdr:cNvPr id="3" name="TextBox 2">
              <a:extLst>
                <a:ext uri="{FF2B5EF4-FFF2-40B4-BE49-F238E27FC236}">
                  <a16:creationId xmlns:a16="http://schemas.microsoft.com/office/drawing/2014/main" id="{139B1438-D463-8741-9E9F-72716654B122}"/>
                </a:ext>
              </a:extLst>
            </xdr:cNvPr>
            <xdr:cNvSpPr txBox="1"/>
          </xdr:nvSpPr>
          <xdr:spPr>
            <a:xfrm>
              <a:off x="13519632482" y="10560050"/>
              <a:ext cx="330846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a:t>
              </a:r>
              <a:r>
                <a:rPr lang="en-US" sz="1100" b="0" i="0">
                  <a:solidFill>
                    <a:srgbClr val="FF0000"/>
                  </a:solidFill>
                  <a:latin typeface="Cambria Math" panose="02040503050406030204" pitchFamily="18" charset="0"/>
                </a:rPr>
                <a:t>𝐼_0</a:t>
              </a:r>
              <a:r>
                <a:rPr lang="en-US" sz="1100" b="0" i="0">
                  <a:latin typeface="Cambria Math" panose="02040503050406030204" pitchFamily="18" charset="0"/>
                </a:rPr>
                <a:t>−</a:t>
              </a:r>
              <a:r>
                <a:rPr lang="en-US" sz="1100" b="0" i="0">
                  <a:solidFill>
                    <a:srgbClr val="00B0F0"/>
                  </a:solidFill>
                  <a:latin typeface="Cambria Math" panose="02040503050406030204" pitchFamily="18" charset="0"/>
                </a:rPr>
                <a:t>𝐼_𝐺</a:t>
              </a:r>
              <a:r>
                <a:rPr lang="he-IL" sz="1100" b="0" i="0">
                  <a:solidFill>
                    <a:srgbClr val="00B0F0"/>
                  </a:solidFill>
                  <a:latin typeface="Cambria Math" panose="02040503050406030204" pitchFamily="18" charset="0"/>
                </a:rPr>
                <a:t>)/</a:t>
              </a:r>
              <a:r>
                <a:rPr lang="en-US" sz="1100" b="0" i="0">
                  <a:solidFill>
                    <a:srgbClr val="00B050"/>
                  </a:solidFill>
                  <a:latin typeface="Cambria Math" panose="02040503050406030204" pitchFamily="18" charset="0"/>
                </a:rPr>
                <a:t>𝑛</a:t>
              </a:r>
              <a:r>
                <a:rPr lang="he-IL" sz="1100" b="0" i="0">
                  <a:latin typeface="Cambria Math" panose="02040503050406030204" pitchFamily="18" charset="0"/>
                </a:rPr>
                <a:t>=(</a:t>
              </a:r>
              <a:r>
                <a:rPr lang="he-IL" sz="1100" b="0" i="0">
                  <a:solidFill>
                    <a:srgbClr val="FF0000"/>
                  </a:solidFill>
                  <a:latin typeface="Cambria Math" panose="02040503050406030204" pitchFamily="18" charset="0"/>
                </a:rPr>
                <a:t>100,000</a:t>
              </a:r>
              <a:r>
                <a:rPr lang="he-IL" sz="1100" b="0" i="0">
                  <a:latin typeface="Cambria Math" panose="02040503050406030204" pitchFamily="18" charset="0"/>
                </a:rPr>
                <a:t>−</a:t>
              </a:r>
              <a:r>
                <a:rPr lang="he-IL" sz="1100" b="0" i="0">
                  <a:solidFill>
                    <a:srgbClr val="00B0F0"/>
                  </a:solidFill>
                  <a:latin typeface="Cambria Math" panose="02040503050406030204" pitchFamily="18" charset="0"/>
                </a:rPr>
                <a:t>0)/</a:t>
              </a:r>
              <a:r>
                <a:rPr lang="he-IL" sz="1100" b="0" i="0">
                  <a:solidFill>
                    <a:srgbClr val="00B050"/>
                  </a:solidFill>
                  <a:latin typeface="Cambria Math" panose="02040503050406030204" pitchFamily="18" charset="0"/>
                </a:rPr>
                <a:t>10</a:t>
              </a:r>
              <a:r>
                <a:rPr lang="he-IL" sz="1100" b="0" i="0">
                  <a:latin typeface="Cambria Math" panose="02040503050406030204" pitchFamily="18" charset="0"/>
                </a:rPr>
                <a:t>=10,000</a:t>
              </a:r>
              <a:endParaRPr lang="en-US" sz="1100"/>
            </a:p>
          </xdr:txBody>
        </xdr:sp>
      </mc:Fallback>
    </mc:AlternateContent>
    <xdr:clientData/>
  </xdr:oneCellAnchor>
  <xdr:twoCellAnchor editAs="oneCell">
    <xdr:from>
      <xdr:col>5</xdr:col>
      <xdr:colOff>397782</xdr:colOff>
      <xdr:row>100</xdr:row>
      <xdr:rowOff>174625</xdr:rowOff>
    </xdr:from>
    <xdr:to>
      <xdr:col>8</xdr:col>
      <xdr:colOff>777874</xdr:colOff>
      <xdr:row>113</xdr:row>
      <xdr:rowOff>85725</xdr:rowOff>
    </xdr:to>
    <xdr:pic>
      <xdr:nvPicPr>
        <xdr:cNvPr id="4" name="Picture 3">
          <a:extLst>
            <a:ext uri="{FF2B5EF4-FFF2-40B4-BE49-F238E27FC236}">
              <a16:creationId xmlns:a16="http://schemas.microsoft.com/office/drawing/2014/main" id="{E9AEEC06-E54A-534C-819E-BB52C6560F85}"/>
            </a:ext>
          </a:extLst>
        </xdr:cNvPr>
        <xdr:cNvPicPr>
          <a:picLocks noChangeAspect="1"/>
        </xdr:cNvPicPr>
      </xdr:nvPicPr>
      <xdr:blipFill>
        <a:blip xmlns:r="http://schemas.openxmlformats.org/officeDocument/2006/relationships" r:embed="rId2"/>
        <a:stretch>
          <a:fillRect/>
        </a:stretch>
      </xdr:blipFill>
      <xdr:spPr>
        <a:xfrm>
          <a:off x="13517610126" y="20634325"/>
          <a:ext cx="2856592" cy="2552700"/>
        </a:xfrm>
        <a:prstGeom prst="rect">
          <a:avLst/>
        </a:prstGeom>
      </xdr:spPr>
    </xdr:pic>
    <xdr:clientData/>
  </xdr:twoCellAnchor>
  <xdr:oneCellAnchor>
    <xdr:from>
      <xdr:col>4</xdr:col>
      <xdr:colOff>168883</xdr:colOff>
      <xdr:row>146</xdr:row>
      <xdr:rowOff>141862</xdr:rowOff>
    </xdr:from>
    <xdr:ext cx="3308468" cy="321498"/>
    <mc:AlternateContent xmlns:mc="http://schemas.openxmlformats.org/markup-compatibility/2006" xmlns:a14="http://schemas.microsoft.com/office/drawing/2010/main">
      <mc:Choice Requires="a14">
        <xdr:sp macro="" textlink="">
          <xdr:nvSpPr>
            <xdr:cNvPr id="5" name="TextBox 4">
              <a:extLst>
                <a:ext uri="{FF2B5EF4-FFF2-40B4-BE49-F238E27FC236}">
                  <a16:creationId xmlns:a16="http://schemas.microsoft.com/office/drawing/2014/main" id="{E32CFFC5-239C-1F47-B099-0417555D9470}"/>
                </a:ext>
              </a:extLst>
            </xdr:cNvPr>
            <xdr:cNvSpPr txBox="1"/>
          </xdr:nvSpPr>
          <xdr:spPr>
            <a:xfrm>
              <a:off x="13496082223" y="24339415"/>
              <a:ext cx="3308468"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r>
                      <a:rPr lang="en-US" sz="1100" b="0" i="1">
                        <a:latin typeface="Cambria Math" panose="02040503050406030204" pitchFamily="18" charset="0"/>
                      </a:rPr>
                      <m:t>=</m:t>
                    </m:r>
                    <m:f>
                      <m:fPr>
                        <m:ctrlPr>
                          <a:rPr lang="he-IL" sz="1100" b="0" i="1">
                            <a:latin typeface="Cambria Math" panose="02040503050406030204" pitchFamily="18" charset="0"/>
                          </a:rPr>
                        </m:ctrlPr>
                      </m:fPr>
                      <m:num>
                        <m:sSub>
                          <m:sSubPr>
                            <m:ctrlPr>
                              <a:rPr lang="en-US" sz="1100" b="0" i="1">
                                <a:solidFill>
                                  <a:srgbClr val="FF0000"/>
                                </a:solidFill>
                                <a:latin typeface="Cambria Math" panose="02040503050406030204" pitchFamily="18" charset="0"/>
                              </a:rPr>
                            </m:ctrlPr>
                          </m:sSubPr>
                          <m:e>
                            <m:r>
                              <a:rPr lang="en-US" sz="1100" b="0" i="1">
                                <a:solidFill>
                                  <a:srgbClr val="FF0000"/>
                                </a:solidFill>
                                <a:latin typeface="Cambria Math" panose="02040503050406030204" pitchFamily="18" charset="0"/>
                              </a:rPr>
                              <m:t>𝐼</m:t>
                            </m:r>
                          </m:e>
                          <m:sub>
                            <m:r>
                              <a:rPr lang="en-US" sz="1100" b="0" i="1">
                                <a:solidFill>
                                  <a:srgbClr val="FF0000"/>
                                </a:solidFill>
                                <a:latin typeface="Cambria Math" panose="02040503050406030204" pitchFamily="18" charset="0"/>
                              </a:rPr>
                              <m:t>0</m:t>
                            </m:r>
                          </m:sub>
                        </m:sSub>
                        <m:r>
                          <a:rPr lang="en-US" sz="1100" b="0" i="1">
                            <a:latin typeface="Cambria Math" panose="02040503050406030204" pitchFamily="18" charset="0"/>
                          </a:rPr>
                          <m:t>−</m:t>
                        </m:r>
                        <m:sSub>
                          <m:sSubPr>
                            <m:ctrlPr>
                              <a:rPr lang="en-US" sz="1100" b="0" i="1">
                                <a:solidFill>
                                  <a:srgbClr val="00B0F0"/>
                                </a:solidFill>
                                <a:latin typeface="Cambria Math" panose="02040503050406030204" pitchFamily="18" charset="0"/>
                              </a:rPr>
                            </m:ctrlPr>
                          </m:sSubPr>
                          <m:e>
                            <m:r>
                              <a:rPr lang="en-US" sz="1100" b="0" i="1">
                                <a:solidFill>
                                  <a:srgbClr val="00B0F0"/>
                                </a:solidFill>
                                <a:latin typeface="Cambria Math" panose="02040503050406030204" pitchFamily="18" charset="0"/>
                              </a:rPr>
                              <m:t>𝐼</m:t>
                            </m:r>
                          </m:e>
                          <m:sub>
                            <m:r>
                              <a:rPr lang="en-US" sz="1100" b="0" i="1">
                                <a:solidFill>
                                  <a:srgbClr val="00B0F0"/>
                                </a:solidFill>
                                <a:latin typeface="Cambria Math" panose="02040503050406030204" pitchFamily="18" charset="0"/>
                              </a:rPr>
                              <m:t>𝐺</m:t>
                            </m:r>
                          </m:sub>
                        </m:sSub>
                      </m:num>
                      <m:den>
                        <m:r>
                          <a:rPr lang="en-US" sz="1100" b="0" i="1">
                            <a:solidFill>
                              <a:srgbClr val="00B050"/>
                            </a:solidFill>
                            <a:latin typeface="Cambria Math" panose="02040503050406030204" pitchFamily="18" charset="0"/>
                          </a:rPr>
                          <m:t>𝑛</m:t>
                        </m:r>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solidFill>
                              <a:srgbClr val="FF0000"/>
                            </a:solidFill>
                            <a:latin typeface="Cambria Math" panose="02040503050406030204" pitchFamily="18" charset="0"/>
                          </a:rPr>
                          <m:t>165,000</m:t>
                        </m:r>
                        <m:r>
                          <a:rPr lang="he-IL" sz="1100" b="0" i="1">
                            <a:latin typeface="Cambria Math" panose="02040503050406030204" pitchFamily="18" charset="0"/>
                          </a:rPr>
                          <m:t>−</m:t>
                        </m:r>
                        <m:r>
                          <a:rPr lang="he-IL" sz="1100" b="0" i="1">
                            <a:solidFill>
                              <a:srgbClr val="00B0F0"/>
                            </a:solidFill>
                            <a:latin typeface="Cambria Math" panose="02040503050406030204" pitchFamily="18" charset="0"/>
                          </a:rPr>
                          <m:t>10,000</m:t>
                        </m:r>
                      </m:num>
                      <m:den>
                        <m:r>
                          <a:rPr lang="he-IL" sz="1100" b="0" i="1">
                            <a:solidFill>
                              <a:srgbClr val="00B050"/>
                            </a:solidFill>
                            <a:latin typeface="Cambria Math" panose="02040503050406030204" pitchFamily="18" charset="0"/>
                          </a:rPr>
                          <m:t>10</m:t>
                        </m:r>
                      </m:den>
                    </m:f>
                    <m:r>
                      <a:rPr lang="he-IL" sz="1100" b="0" i="1">
                        <a:latin typeface="Cambria Math" panose="02040503050406030204" pitchFamily="18" charset="0"/>
                      </a:rPr>
                      <m:t>=15,500</m:t>
                    </m:r>
                  </m:oMath>
                </m:oMathPara>
              </a14:m>
              <a:endParaRPr lang="en-US" sz="1100"/>
            </a:p>
          </xdr:txBody>
        </xdr:sp>
      </mc:Choice>
      <mc:Fallback xmlns="">
        <xdr:sp macro="" textlink="">
          <xdr:nvSpPr>
            <xdr:cNvPr id="5" name="TextBox 4">
              <a:extLst>
                <a:ext uri="{FF2B5EF4-FFF2-40B4-BE49-F238E27FC236}">
                  <a16:creationId xmlns:a16="http://schemas.microsoft.com/office/drawing/2014/main" id="{E32CFFC5-239C-1F47-B099-0417555D9470}"/>
                </a:ext>
              </a:extLst>
            </xdr:cNvPr>
            <xdr:cNvSpPr txBox="1"/>
          </xdr:nvSpPr>
          <xdr:spPr>
            <a:xfrm>
              <a:off x="13496082223" y="24339415"/>
              <a:ext cx="3308468"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a:t>
              </a:r>
              <a:r>
                <a:rPr lang="en-US" sz="1100" b="0" i="0">
                  <a:solidFill>
                    <a:srgbClr val="FF0000"/>
                  </a:solidFill>
                  <a:latin typeface="Cambria Math" panose="02040503050406030204" pitchFamily="18" charset="0"/>
                </a:rPr>
                <a:t>𝐼_0</a:t>
              </a:r>
              <a:r>
                <a:rPr lang="en-US" sz="1100" b="0" i="0">
                  <a:latin typeface="Cambria Math" panose="02040503050406030204" pitchFamily="18" charset="0"/>
                </a:rPr>
                <a:t>−</a:t>
              </a:r>
              <a:r>
                <a:rPr lang="en-US" sz="1100" b="0" i="0">
                  <a:solidFill>
                    <a:srgbClr val="00B0F0"/>
                  </a:solidFill>
                  <a:latin typeface="Cambria Math" panose="02040503050406030204" pitchFamily="18" charset="0"/>
                </a:rPr>
                <a:t>𝐼_𝐺</a:t>
              </a:r>
              <a:r>
                <a:rPr lang="he-IL" sz="1100" b="0" i="0">
                  <a:solidFill>
                    <a:srgbClr val="00B0F0"/>
                  </a:solidFill>
                  <a:latin typeface="Cambria Math" panose="02040503050406030204" pitchFamily="18" charset="0"/>
                </a:rPr>
                <a:t>)/</a:t>
              </a:r>
              <a:r>
                <a:rPr lang="en-US" sz="1100" b="0" i="0">
                  <a:solidFill>
                    <a:srgbClr val="00B050"/>
                  </a:solidFill>
                  <a:latin typeface="Cambria Math" panose="02040503050406030204" pitchFamily="18" charset="0"/>
                </a:rPr>
                <a:t>𝑛</a:t>
              </a:r>
              <a:r>
                <a:rPr lang="he-IL" sz="1100" b="0" i="0">
                  <a:latin typeface="Cambria Math" panose="02040503050406030204" pitchFamily="18" charset="0"/>
                </a:rPr>
                <a:t>=(</a:t>
              </a:r>
              <a:r>
                <a:rPr lang="he-IL" sz="1100" b="0" i="0">
                  <a:solidFill>
                    <a:srgbClr val="FF0000"/>
                  </a:solidFill>
                  <a:latin typeface="Cambria Math" panose="02040503050406030204" pitchFamily="18" charset="0"/>
                </a:rPr>
                <a:t>165,000</a:t>
              </a:r>
              <a:r>
                <a:rPr lang="he-IL" sz="1100" b="0" i="0">
                  <a:latin typeface="Cambria Math" panose="02040503050406030204" pitchFamily="18" charset="0"/>
                </a:rPr>
                <a:t>−</a:t>
              </a:r>
              <a:r>
                <a:rPr lang="he-IL" sz="1100" b="0" i="0">
                  <a:solidFill>
                    <a:srgbClr val="00B0F0"/>
                  </a:solidFill>
                  <a:latin typeface="Cambria Math" panose="02040503050406030204" pitchFamily="18" charset="0"/>
                </a:rPr>
                <a:t>10,000)/</a:t>
              </a:r>
              <a:r>
                <a:rPr lang="he-IL" sz="1100" b="0" i="0">
                  <a:solidFill>
                    <a:srgbClr val="00B050"/>
                  </a:solidFill>
                  <a:latin typeface="Cambria Math" panose="02040503050406030204" pitchFamily="18" charset="0"/>
                </a:rPr>
                <a:t>10</a:t>
              </a:r>
              <a:r>
                <a:rPr lang="he-IL" sz="1100" b="0" i="0">
                  <a:latin typeface="Cambria Math" panose="02040503050406030204" pitchFamily="18" charset="0"/>
                </a:rPr>
                <a:t>=15,500</a:t>
              </a:r>
              <a:endParaRPr lang="en-US" sz="1100"/>
            </a:p>
          </xdr:txBody>
        </xdr:sp>
      </mc:Fallback>
    </mc:AlternateContent>
    <xdr:clientData/>
  </xdr:oneCellAnchor>
  <xdr:oneCellAnchor>
    <xdr:from>
      <xdr:col>4</xdr:col>
      <xdr:colOff>770106</xdr:colOff>
      <xdr:row>157</xdr:row>
      <xdr:rowOff>67553</xdr:rowOff>
    </xdr:from>
    <xdr:ext cx="2355969" cy="320344"/>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65316466-71D1-614F-B0FE-B463942A4BB6}"/>
                </a:ext>
              </a:extLst>
            </xdr:cNvPr>
            <xdr:cNvSpPr txBox="1"/>
          </xdr:nvSpPr>
          <xdr:spPr>
            <a:xfrm>
              <a:off x="13496433499" y="26494362"/>
              <a:ext cx="235596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d>
                      <m:dPr>
                        <m:ctrlPr>
                          <a:rPr lang="he-IL" sz="1100" b="0" i="1">
                            <a:latin typeface="Cambria Math" panose="02040503050406030204" pitchFamily="18" charset="0"/>
                          </a:rPr>
                        </m:ctrlPr>
                      </m:dPr>
                      <m:e>
                        <m:r>
                          <a:rPr lang="he-IL" sz="1100" b="0" i="1">
                            <a:latin typeface="Cambria Math" panose="02040503050406030204" pitchFamily="18" charset="0"/>
                          </a:rPr>
                          <m:t>2013</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15,500</m:t>
                        </m:r>
                      </m:num>
                      <m:den>
                        <m:r>
                          <a:rPr lang="he-IL" sz="1100" b="0" i="1">
                            <a:latin typeface="Cambria Math" panose="02040503050406030204" pitchFamily="18" charset="0"/>
                          </a:rPr>
                          <m:t>12</m:t>
                        </m:r>
                      </m:den>
                    </m:f>
                    <m:r>
                      <a:rPr lang="he-IL" sz="1100" b="0" i="1">
                        <a:latin typeface="Cambria Math" panose="02040503050406030204" pitchFamily="18" charset="0"/>
                      </a:rPr>
                      <m:t>∗8=10,333.33</m:t>
                    </m:r>
                  </m:oMath>
                </m:oMathPara>
              </a14:m>
              <a:endParaRPr lang="en-US" sz="1100"/>
            </a:p>
          </xdr:txBody>
        </xdr:sp>
      </mc:Choice>
      <mc:Fallback xmlns="">
        <xdr:sp macro="" textlink="">
          <xdr:nvSpPr>
            <xdr:cNvPr id="6" name="TextBox 5">
              <a:extLst>
                <a:ext uri="{FF2B5EF4-FFF2-40B4-BE49-F238E27FC236}">
                  <a16:creationId xmlns:a16="http://schemas.microsoft.com/office/drawing/2014/main" id="{65316466-71D1-614F-B0FE-B463942A4BB6}"/>
                </a:ext>
              </a:extLst>
            </xdr:cNvPr>
            <xdr:cNvSpPr txBox="1"/>
          </xdr:nvSpPr>
          <xdr:spPr>
            <a:xfrm>
              <a:off x="13496433499" y="26494362"/>
              <a:ext cx="235596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(2013)=15,500/12∗8=10,333.33</a:t>
              </a:r>
              <a:endParaRPr lang="en-US" sz="1100"/>
            </a:p>
          </xdr:txBody>
        </xdr:sp>
      </mc:Fallback>
    </mc:AlternateContent>
    <xdr:clientData/>
  </xdr:oneCellAnchor>
  <xdr:oneCellAnchor>
    <xdr:from>
      <xdr:col>5</xdr:col>
      <xdr:colOff>40531</xdr:colOff>
      <xdr:row>172</xdr:row>
      <xdr:rowOff>94576</xdr:rowOff>
    </xdr:from>
    <xdr:ext cx="2355969" cy="320344"/>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CDB1CB4E-433D-F942-9F1B-5FA7C862F702}"/>
                </a:ext>
              </a:extLst>
            </xdr:cNvPr>
            <xdr:cNvSpPr txBox="1"/>
          </xdr:nvSpPr>
          <xdr:spPr>
            <a:xfrm>
              <a:off x="13496338925" y="29561278"/>
              <a:ext cx="235596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d>
                      <m:dPr>
                        <m:ctrlPr>
                          <a:rPr lang="he-IL" sz="1100" b="0" i="1">
                            <a:latin typeface="Cambria Math" panose="02040503050406030204" pitchFamily="18" charset="0"/>
                          </a:rPr>
                        </m:ctrlPr>
                      </m:dPr>
                      <m:e>
                        <m:r>
                          <a:rPr lang="he-IL" sz="1100" b="0" i="1">
                            <a:latin typeface="Cambria Math" panose="02040503050406030204" pitchFamily="18" charset="0"/>
                          </a:rPr>
                          <m:t>2017</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15,500</m:t>
                        </m:r>
                      </m:num>
                      <m:den>
                        <m:r>
                          <a:rPr lang="he-IL" sz="1100" b="0" i="1">
                            <a:latin typeface="Cambria Math" panose="02040503050406030204" pitchFamily="18" charset="0"/>
                          </a:rPr>
                          <m:t>12</m:t>
                        </m:r>
                      </m:den>
                    </m:f>
                    <m:r>
                      <a:rPr lang="he-IL" sz="1100" b="0" i="1">
                        <a:latin typeface="Cambria Math" panose="02040503050406030204" pitchFamily="18" charset="0"/>
                      </a:rPr>
                      <m:t>∗6=7,750</m:t>
                    </m:r>
                  </m:oMath>
                </m:oMathPara>
              </a14:m>
              <a:endParaRPr lang="en-US" sz="1100"/>
            </a:p>
          </xdr:txBody>
        </xdr:sp>
      </mc:Choice>
      <mc:Fallback xmlns="">
        <xdr:sp macro="" textlink="">
          <xdr:nvSpPr>
            <xdr:cNvPr id="7" name="TextBox 6">
              <a:extLst>
                <a:ext uri="{FF2B5EF4-FFF2-40B4-BE49-F238E27FC236}">
                  <a16:creationId xmlns:a16="http://schemas.microsoft.com/office/drawing/2014/main" id="{CDB1CB4E-433D-F942-9F1B-5FA7C862F702}"/>
                </a:ext>
              </a:extLst>
            </xdr:cNvPr>
            <xdr:cNvSpPr txBox="1"/>
          </xdr:nvSpPr>
          <xdr:spPr>
            <a:xfrm>
              <a:off x="13496338925" y="29561278"/>
              <a:ext cx="235596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(2017)=15,500/12∗6=7,750</a:t>
              </a:r>
              <a:endParaRPr lang="en-US" sz="1100"/>
            </a:p>
          </xdr:txBody>
        </xdr:sp>
      </mc:Fallback>
    </mc:AlternateContent>
    <xdr:clientData/>
  </xdr:oneCellAnchor>
  <xdr:twoCellAnchor editAs="oneCell">
    <xdr:from>
      <xdr:col>0</xdr:col>
      <xdr:colOff>0</xdr:colOff>
      <xdr:row>191</xdr:row>
      <xdr:rowOff>21967</xdr:rowOff>
    </xdr:from>
    <xdr:to>
      <xdr:col>5</xdr:col>
      <xdr:colOff>547180</xdr:colOff>
      <xdr:row>201</xdr:row>
      <xdr:rowOff>923</xdr:rowOff>
    </xdr:to>
    <xdr:pic>
      <xdr:nvPicPr>
        <xdr:cNvPr id="8" name="Picture 7">
          <a:extLst>
            <a:ext uri="{FF2B5EF4-FFF2-40B4-BE49-F238E27FC236}">
              <a16:creationId xmlns:a16="http://schemas.microsoft.com/office/drawing/2014/main" id="{1D9E4621-D201-AC49-918C-C9E233D1019F}"/>
            </a:ext>
          </a:extLst>
        </xdr:cNvPr>
        <xdr:cNvPicPr>
          <a:picLocks noChangeAspect="1"/>
        </xdr:cNvPicPr>
      </xdr:nvPicPr>
      <xdr:blipFill>
        <a:blip xmlns:r="http://schemas.openxmlformats.org/officeDocument/2006/relationships" r:embed="rId3"/>
        <a:stretch>
          <a:fillRect/>
        </a:stretch>
      </xdr:blipFill>
      <xdr:spPr>
        <a:xfrm>
          <a:off x="13498188245" y="33366222"/>
          <a:ext cx="4667925" cy="2034416"/>
        </a:xfrm>
        <a:prstGeom prst="rect">
          <a:avLst/>
        </a:prstGeom>
      </xdr:spPr>
    </xdr:pic>
    <xdr:clientData/>
  </xdr:twoCellAnchor>
  <xdr:twoCellAnchor>
    <xdr:from>
      <xdr:col>0</xdr:col>
      <xdr:colOff>87819</xdr:colOff>
      <xdr:row>198</xdr:row>
      <xdr:rowOff>67554</xdr:rowOff>
    </xdr:from>
    <xdr:to>
      <xdr:col>1</xdr:col>
      <xdr:colOff>94574</xdr:colOff>
      <xdr:row>199</xdr:row>
      <xdr:rowOff>13511</xdr:rowOff>
    </xdr:to>
    <xdr:sp macro="" textlink="">
      <xdr:nvSpPr>
        <xdr:cNvPr id="9" name="Rectangle 8">
          <a:extLst>
            <a:ext uri="{FF2B5EF4-FFF2-40B4-BE49-F238E27FC236}">
              <a16:creationId xmlns:a16="http://schemas.microsoft.com/office/drawing/2014/main" id="{083722D8-F625-3240-B0A4-98AA01AA9A64}"/>
            </a:ext>
          </a:extLst>
        </xdr:cNvPr>
        <xdr:cNvSpPr/>
      </xdr:nvSpPr>
      <xdr:spPr>
        <a:xfrm>
          <a:off x="13501937447" y="34830426"/>
          <a:ext cx="830904" cy="148617"/>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3</xdr:col>
      <xdr:colOff>432340</xdr:colOff>
      <xdr:row>230</xdr:row>
      <xdr:rowOff>39316</xdr:rowOff>
    </xdr:from>
    <xdr:ext cx="3023260" cy="321435"/>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054125E2-639A-9C4D-A34A-71891C9C4597}"/>
                </a:ext>
              </a:extLst>
            </xdr:cNvPr>
            <xdr:cNvSpPr txBox="1"/>
          </xdr:nvSpPr>
          <xdr:spPr>
            <a:xfrm>
              <a:off x="13496928123" y="41314316"/>
              <a:ext cx="3023260" cy="3214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𝐺</m:t>
                            </m:r>
                          </m:sub>
                        </m:sSub>
                      </m:num>
                      <m:den>
                        <m:r>
                          <a:rPr lang="en-US" sz="1100" b="0" i="1">
                            <a:latin typeface="Cambria Math" panose="02040503050406030204" pitchFamily="18" charset="0"/>
                          </a:rPr>
                          <m:t>𝑛</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4,500−1,500</m:t>
                        </m:r>
                      </m:num>
                      <m:den>
                        <m:r>
                          <a:rPr lang="en-US" sz="1100" b="0" i="1">
                            <a:latin typeface="Cambria Math" panose="02040503050406030204" pitchFamily="18" charset="0"/>
                          </a:rPr>
                          <m:t>5</m:t>
                        </m:r>
                      </m:den>
                    </m:f>
                    <m:r>
                      <a:rPr lang="en-US" sz="1100" b="0" i="1">
                        <a:latin typeface="Cambria Math" panose="02040503050406030204" pitchFamily="18" charset="0"/>
                      </a:rPr>
                      <m:t>=600</m:t>
                    </m:r>
                  </m:oMath>
                </m:oMathPara>
              </a14:m>
              <a:endParaRPr lang="en-US" sz="1100"/>
            </a:p>
          </xdr:txBody>
        </xdr:sp>
      </mc:Choice>
      <mc:Fallback xmlns="">
        <xdr:sp macro="" textlink="">
          <xdr:nvSpPr>
            <xdr:cNvPr id="10" name="TextBox 9">
              <a:extLst>
                <a:ext uri="{FF2B5EF4-FFF2-40B4-BE49-F238E27FC236}">
                  <a16:creationId xmlns:a16="http://schemas.microsoft.com/office/drawing/2014/main" id="{054125E2-639A-9C4D-A34A-71891C9C4597}"/>
                </a:ext>
              </a:extLst>
            </xdr:cNvPr>
            <xdr:cNvSpPr txBox="1"/>
          </xdr:nvSpPr>
          <xdr:spPr>
            <a:xfrm>
              <a:off x="13496928123" y="41314316"/>
              <a:ext cx="3023260" cy="3214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𝐷=(𝐼_0−𝐼_𝐺)/𝑛=(4,500−1,500)/5=600</a:t>
              </a:r>
              <a:endParaRPr lang="en-US" sz="1100"/>
            </a:p>
          </xdr:txBody>
        </xdr:sp>
      </mc:Fallback>
    </mc:AlternateContent>
    <xdr:clientData/>
  </xdr:oneCellAnchor>
  <xdr:oneCellAnchor>
    <xdr:from>
      <xdr:col>3</xdr:col>
      <xdr:colOff>574201</xdr:colOff>
      <xdr:row>234</xdr:row>
      <xdr:rowOff>59582</xdr:rowOff>
    </xdr:from>
    <xdr:ext cx="3023260" cy="316882"/>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32A2D139-5143-4648-95B3-FC4B7380233D}"/>
                </a:ext>
              </a:extLst>
            </xdr:cNvPr>
            <xdr:cNvSpPr txBox="1"/>
          </xdr:nvSpPr>
          <xdr:spPr>
            <a:xfrm>
              <a:off x="13496786262" y="42145220"/>
              <a:ext cx="3023260"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d>
                      <m:dPr>
                        <m:ctrlPr>
                          <a:rPr lang="he-IL" sz="1100" b="0" i="1">
                            <a:latin typeface="Cambria Math" panose="02040503050406030204" pitchFamily="18" charset="0"/>
                          </a:rPr>
                        </m:ctrlPr>
                      </m:dPr>
                      <m:e>
                        <m:r>
                          <a:rPr lang="he-IL" sz="1100" b="0" i="1">
                            <a:latin typeface="Cambria Math" panose="02040503050406030204" pitchFamily="18" charset="0"/>
                          </a:rPr>
                          <m:t>2014</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600</m:t>
                        </m:r>
                      </m:num>
                      <m:den>
                        <m:r>
                          <a:rPr lang="he-IL" sz="1100" b="0" i="1">
                            <a:latin typeface="Cambria Math" panose="02040503050406030204" pitchFamily="18" charset="0"/>
                          </a:rPr>
                          <m:t>12</m:t>
                        </m:r>
                      </m:den>
                    </m:f>
                    <m:r>
                      <a:rPr lang="he-IL" sz="1100" b="0" i="1">
                        <a:latin typeface="Cambria Math" panose="02040503050406030204" pitchFamily="18" charset="0"/>
                      </a:rPr>
                      <m:t>∗11=550</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32A2D139-5143-4648-95B3-FC4B7380233D}"/>
                </a:ext>
              </a:extLst>
            </xdr:cNvPr>
            <xdr:cNvSpPr txBox="1"/>
          </xdr:nvSpPr>
          <xdr:spPr>
            <a:xfrm>
              <a:off x="13496786262" y="42145220"/>
              <a:ext cx="3023260"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(2014)=600/12∗11=550</a:t>
              </a:r>
              <a:endParaRPr lang="en-US" sz="1100"/>
            </a:p>
          </xdr:txBody>
        </xdr:sp>
      </mc:Fallback>
    </mc:AlternateContent>
    <xdr:clientData/>
  </xdr:oneCellAnchor>
  <xdr:oneCellAnchor>
    <xdr:from>
      <xdr:col>3</xdr:col>
      <xdr:colOff>567446</xdr:colOff>
      <xdr:row>238</xdr:row>
      <xdr:rowOff>160912</xdr:rowOff>
    </xdr:from>
    <xdr:ext cx="3023260" cy="316882"/>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B29066CC-2937-9348-9FAB-DEBF42886215}"/>
                </a:ext>
              </a:extLst>
            </xdr:cNvPr>
            <xdr:cNvSpPr txBox="1"/>
          </xdr:nvSpPr>
          <xdr:spPr>
            <a:xfrm>
              <a:off x="13496793017" y="43057189"/>
              <a:ext cx="3023260"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d>
                      <m:dPr>
                        <m:ctrlPr>
                          <a:rPr lang="he-IL" sz="1100" b="0" i="1">
                            <a:latin typeface="Cambria Math" panose="02040503050406030204" pitchFamily="18" charset="0"/>
                          </a:rPr>
                        </m:ctrlPr>
                      </m:dPr>
                      <m:e>
                        <m:r>
                          <a:rPr lang="he-IL" sz="1100" b="0" i="1">
                            <a:latin typeface="Cambria Math" panose="02040503050406030204" pitchFamily="18" charset="0"/>
                          </a:rPr>
                          <m:t>2016</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600</m:t>
                        </m:r>
                      </m:num>
                      <m:den>
                        <m:r>
                          <a:rPr lang="he-IL" sz="1100" b="0" i="1">
                            <a:latin typeface="Cambria Math" panose="02040503050406030204" pitchFamily="18" charset="0"/>
                          </a:rPr>
                          <m:t>12</m:t>
                        </m:r>
                      </m:den>
                    </m:f>
                    <m:r>
                      <a:rPr lang="he-IL" sz="1100" b="0" i="1">
                        <a:latin typeface="Cambria Math" panose="02040503050406030204" pitchFamily="18" charset="0"/>
                      </a:rPr>
                      <m:t>∗9=450</m:t>
                    </m:r>
                  </m:oMath>
                </m:oMathPara>
              </a14:m>
              <a:endParaRPr lang="en-US" sz="1100"/>
            </a:p>
          </xdr:txBody>
        </xdr:sp>
      </mc:Choice>
      <mc:Fallback xmlns="">
        <xdr:sp macro="" textlink="">
          <xdr:nvSpPr>
            <xdr:cNvPr id="12" name="TextBox 11">
              <a:extLst>
                <a:ext uri="{FF2B5EF4-FFF2-40B4-BE49-F238E27FC236}">
                  <a16:creationId xmlns:a16="http://schemas.microsoft.com/office/drawing/2014/main" id="{B29066CC-2937-9348-9FAB-DEBF42886215}"/>
                </a:ext>
              </a:extLst>
            </xdr:cNvPr>
            <xdr:cNvSpPr txBox="1"/>
          </xdr:nvSpPr>
          <xdr:spPr>
            <a:xfrm>
              <a:off x="13496793017" y="43057189"/>
              <a:ext cx="3023260"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(2016)=600/12∗9=450</a:t>
              </a:r>
              <a:endParaRPr lang="en-US" sz="1100"/>
            </a:p>
          </xdr:txBody>
        </xdr:sp>
      </mc:Fallback>
    </mc:AlternateContent>
    <xdr:clientData/>
  </xdr:oneCellAnchor>
  <xdr:twoCellAnchor>
    <xdr:from>
      <xdr:col>2</xdr:col>
      <xdr:colOff>552450</xdr:colOff>
      <xdr:row>298</xdr:row>
      <xdr:rowOff>50800</xdr:rowOff>
    </xdr:from>
    <xdr:to>
      <xdr:col>2</xdr:col>
      <xdr:colOff>787400</xdr:colOff>
      <xdr:row>301</xdr:row>
      <xdr:rowOff>184150</xdr:rowOff>
    </xdr:to>
    <xdr:sp macro="" textlink="">
      <xdr:nvSpPr>
        <xdr:cNvPr id="13" name="Left Brace 12">
          <a:extLst>
            <a:ext uri="{FF2B5EF4-FFF2-40B4-BE49-F238E27FC236}">
              <a16:creationId xmlns:a16="http://schemas.microsoft.com/office/drawing/2014/main" id="{5F1E1DE7-1E0E-2149-AB3F-747C539F0F5C}"/>
            </a:ext>
          </a:extLst>
        </xdr:cNvPr>
        <xdr:cNvSpPr/>
      </xdr:nvSpPr>
      <xdr:spPr>
        <a:xfrm>
          <a:off x="13522553600" y="8788400"/>
          <a:ext cx="234950" cy="742950"/>
        </a:xfrm>
        <a:prstGeom prst="leftBrace">
          <a:avLst/>
        </a:prstGeom>
      </xdr:spPr>
      <xdr:style>
        <a:lnRef idx="3">
          <a:schemeClr val="dk1"/>
        </a:lnRef>
        <a:fillRef idx="0">
          <a:schemeClr val="dk1"/>
        </a:fillRef>
        <a:effectRef idx="2">
          <a:schemeClr val="dk1"/>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683846</xdr:colOff>
      <xdr:row>358</xdr:row>
      <xdr:rowOff>18317</xdr:rowOff>
    </xdr:from>
    <xdr:to>
      <xdr:col>6</xdr:col>
      <xdr:colOff>61057</xdr:colOff>
      <xdr:row>359</xdr:row>
      <xdr:rowOff>158750</xdr:rowOff>
    </xdr:to>
    <xdr:cxnSp macro="">
      <xdr:nvCxnSpPr>
        <xdr:cNvPr id="14" name="Straight Arrow Connector 13">
          <a:extLst>
            <a:ext uri="{FF2B5EF4-FFF2-40B4-BE49-F238E27FC236}">
              <a16:creationId xmlns:a16="http://schemas.microsoft.com/office/drawing/2014/main" id="{AB03A332-9113-0C48-8283-BB3971A4C7D3}"/>
            </a:ext>
          </a:extLst>
        </xdr:cNvPr>
        <xdr:cNvCxnSpPr/>
      </xdr:nvCxnSpPr>
      <xdr:spPr>
        <a:xfrm flipH="1">
          <a:off x="13519977943" y="20947917"/>
          <a:ext cx="202711" cy="34363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164856</xdr:colOff>
      <xdr:row>358</xdr:row>
      <xdr:rowOff>6105</xdr:rowOff>
    </xdr:from>
    <xdr:to>
      <xdr:col>5</xdr:col>
      <xdr:colOff>354135</xdr:colOff>
      <xdr:row>359</xdr:row>
      <xdr:rowOff>195385</xdr:rowOff>
    </xdr:to>
    <xdr:cxnSp macro="">
      <xdr:nvCxnSpPr>
        <xdr:cNvPr id="15" name="Straight Arrow Connector 14">
          <a:extLst>
            <a:ext uri="{FF2B5EF4-FFF2-40B4-BE49-F238E27FC236}">
              <a16:creationId xmlns:a16="http://schemas.microsoft.com/office/drawing/2014/main" id="{C582BBA1-0188-6642-8E8D-42821DEE96FB}"/>
            </a:ext>
          </a:extLst>
        </xdr:cNvPr>
        <xdr:cNvCxnSpPr/>
      </xdr:nvCxnSpPr>
      <xdr:spPr>
        <a:xfrm>
          <a:off x="13520510365" y="20935705"/>
          <a:ext cx="189279" cy="3924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280865</xdr:colOff>
      <xdr:row>357</xdr:row>
      <xdr:rowOff>183173</xdr:rowOff>
    </xdr:from>
    <xdr:to>
      <xdr:col>5</xdr:col>
      <xdr:colOff>79375</xdr:colOff>
      <xdr:row>359</xdr:row>
      <xdr:rowOff>177068</xdr:rowOff>
    </xdr:to>
    <xdr:cxnSp macro="">
      <xdr:nvCxnSpPr>
        <xdr:cNvPr id="16" name="Straight Arrow Connector 15">
          <a:extLst>
            <a:ext uri="{FF2B5EF4-FFF2-40B4-BE49-F238E27FC236}">
              <a16:creationId xmlns:a16="http://schemas.microsoft.com/office/drawing/2014/main" id="{6B9FEA04-84E0-1B42-B40E-C9F078AB24B9}"/>
            </a:ext>
          </a:extLst>
        </xdr:cNvPr>
        <xdr:cNvCxnSpPr/>
      </xdr:nvCxnSpPr>
      <xdr:spPr>
        <a:xfrm>
          <a:off x="13520785125" y="20909573"/>
          <a:ext cx="624010" cy="4002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4</xdr:col>
      <xdr:colOff>550024</xdr:colOff>
      <xdr:row>390</xdr:row>
      <xdr:rowOff>35064</xdr:rowOff>
    </xdr:from>
    <xdr:to>
      <xdr:col>9</xdr:col>
      <xdr:colOff>339436</xdr:colOff>
      <xdr:row>403</xdr:row>
      <xdr:rowOff>19243</xdr:rowOff>
    </xdr:to>
    <xdr:pic>
      <xdr:nvPicPr>
        <xdr:cNvPr id="17" name="Picture 16">
          <a:extLst>
            <a:ext uri="{FF2B5EF4-FFF2-40B4-BE49-F238E27FC236}">
              <a16:creationId xmlns:a16="http://schemas.microsoft.com/office/drawing/2014/main" id="{78E4DF1C-6A9F-35E4-42A0-E03A055B35F6}"/>
            </a:ext>
          </a:extLst>
        </xdr:cNvPr>
        <xdr:cNvPicPr>
          <a:picLocks noChangeAspect="1"/>
        </xdr:cNvPicPr>
      </xdr:nvPicPr>
      <xdr:blipFill>
        <a:blip xmlns:r="http://schemas.openxmlformats.org/officeDocument/2006/relationships" r:embed="rId4"/>
        <a:stretch>
          <a:fillRect/>
        </a:stretch>
      </xdr:blipFill>
      <xdr:spPr>
        <a:xfrm>
          <a:off x="13548732534" y="79968094"/>
          <a:ext cx="3926533" cy="2635785"/>
        </a:xfrm>
        <a:prstGeom prst="rect">
          <a:avLst/>
        </a:prstGeom>
      </xdr:spPr>
    </xdr:pic>
    <xdr:clientData/>
  </xdr:twoCellAnchor>
  <xdr:twoCellAnchor editAs="oneCell">
    <xdr:from>
      <xdr:col>5</xdr:col>
      <xdr:colOff>368478</xdr:colOff>
      <xdr:row>404</xdr:row>
      <xdr:rowOff>171631</xdr:rowOff>
    </xdr:from>
    <xdr:to>
      <xdr:col>7</xdr:col>
      <xdr:colOff>273242</xdr:colOff>
      <xdr:row>412</xdr:row>
      <xdr:rowOff>192289</xdr:rowOff>
    </xdr:to>
    <xdr:pic>
      <xdr:nvPicPr>
        <xdr:cNvPr id="18" name="Picture 17" descr="Cartoon Taxi Driver Funny Character with His Yellow Cab Stock Vector -  Illustration of clipart, humor: 35049167">
          <a:extLst>
            <a:ext uri="{FF2B5EF4-FFF2-40B4-BE49-F238E27FC236}">
              <a16:creationId xmlns:a16="http://schemas.microsoft.com/office/drawing/2014/main" id="{DBE6FC04-B748-AA18-2044-683A6B20AF9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3550453576" y="82960237"/>
          <a:ext cx="1559613" cy="16524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35775</xdr:colOff>
      <xdr:row>411</xdr:row>
      <xdr:rowOff>114479</xdr:rowOff>
    </xdr:from>
    <xdr:to>
      <xdr:col>5</xdr:col>
      <xdr:colOff>175296</xdr:colOff>
      <xdr:row>411</xdr:row>
      <xdr:rowOff>114479</xdr:rowOff>
    </xdr:to>
    <xdr:cxnSp macro="">
      <xdr:nvCxnSpPr>
        <xdr:cNvPr id="20" name="Straight Arrow Connector 19">
          <a:extLst>
            <a:ext uri="{FF2B5EF4-FFF2-40B4-BE49-F238E27FC236}">
              <a16:creationId xmlns:a16="http://schemas.microsoft.com/office/drawing/2014/main" id="{EF320012-58B1-7553-6068-14DB2790FE42}"/>
            </a:ext>
          </a:extLst>
        </xdr:cNvPr>
        <xdr:cNvCxnSpPr/>
      </xdr:nvCxnSpPr>
      <xdr:spPr>
        <a:xfrm flipH="1">
          <a:off x="13535338028" y="79970648"/>
          <a:ext cx="965916"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531024</xdr:colOff>
      <xdr:row>424</xdr:row>
      <xdr:rowOff>112815</xdr:rowOff>
    </xdr:from>
    <xdr:ext cx="3028177" cy="327397"/>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D6584653-62BA-B646-FCA0-DC007A1C6865}"/>
                </a:ext>
              </a:extLst>
            </xdr:cNvPr>
            <xdr:cNvSpPr txBox="1"/>
          </xdr:nvSpPr>
          <xdr:spPr>
            <a:xfrm>
              <a:off x="13501531676" y="82755651"/>
              <a:ext cx="3028177" cy="3273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𝑆𝐷</m:t>
                    </m:r>
                    <m:r>
                      <a:rPr lang="en-US" sz="1100" b="0" i="1">
                        <a:latin typeface="Cambria Math" panose="02040503050406030204" pitchFamily="18" charset="0"/>
                      </a:rPr>
                      <m:t>=</m:t>
                    </m:r>
                    <m:f>
                      <m:fPr>
                        <m:ctrlPr>
                          <a:rPr lang="en-US" sz="1100" b="0" i="1">
                            <a:solidFill>
                              <a:sysClr val="windowText" lastClr="000000"/>
                            </a:solidFill>
                            <a:latin typeface="Cambria Math" panose="02040503050406030204" pitchFamily="18" charset="0"/>
                          </a:rPr>
                        </m:ctrlPr>
                      </m:fPr>
                      <m:num>
                        <m:r>
                          <a:rPr lang="en-US" sz="1100" b="0" i="1">
                            <a:solidFill>
                              <a:sysClr val="windowText" lastClr="000000"/>
                            </a:solidFill>
                            <a:latin typeface="Cambria Math" panose="02040503050406030204" pitchFamily="18" charset="0"/>
                          </a:rPr>
                          <m:t>𝑛</m:t>
                        </m:r>
                        <m:r>
                          <a:rPr lang="en-US" sz="1100" b="0" i="1">
                            <a:solidFill>
                              <a:sysClr val="windowText" lastClr="000000"/>
                            </a:solidFill>
                            <a:latin typeface="Cambria Math" panose="02040503050406030204" pitchFamily="18" charset="0"/>
                          </a:rPr>
                          <m:t>∗</m:t>
                        </m:r>
                        <m:d>
                          <m:dPr>
                            <m:ctrlPr>
                              <a:rPr lang="en-US" sz="1100" b="0" i="1">
                                <a:solidFill>
                                  <a:sysClr val="windowText" lastClr="000000"/>
                                </a:solidFill>
                                <a:latin typeface="Cambria Math" panose="02040503050406030204" pitchFamily="18" charset="0"/>
                              </a:rPr>
                            </m:ctrlPr>
                          </m:dPr>
                          <m:e>
                            <m:r>
                              <a:rPr lang="en-US" sz="1100" b="0" i="1">
                                <a:solidFill>
                                  <a:sysClr val="windowText" lastClr="000000"/>
                                </a:solidFill>
                                <a:latin typeface="Cambria Math" panose="02040503050406030204" pitchFamily="18" charset="0"/>
                              </a:rPr>
                              <m:t>𝑛</m:t>
                            </m:r>
                            <m:r>
                              <a:rPr lang="en-US" sz="1100" b="0" i="1">
                                <a:solidFill>
                                  <a:sysClr val="windowText" lastClr="000000"/>
                                </a:solidFill>
                                <a:latin typeface="Cambria Math" panose="02040503050406030204" pitchFamily="18" charset="0"/>
                              </a:rPr>
                              <m:t>+1</m:t>
                            </m:r>
                          </m:e>
                        </m:d>
                      </m:num>
                      <m:den>
                        <m:r>
                          <a:rPr lang="en-US" sz="1100" b="0" i="1">
                            <a:solidFill>
                              <a:sysClr val="windowText" lastClr="000000"/>
                            </a:solidFill>
                            <a:latin typeface="Cambria Math" panose="02040503050406030204" pitchFamily="18" charset="0"/>
                          </a:rPr>
                          <m:t>2</m:t>
                        </m:r>
                      </m:den>
                    </m:f>
                    <m:r>
                      <a:rPr lang="he-IL" sz="1100" b="0" i="1">
                        <a:solidFill>
                          <a:sysClr val="windowText" lastClr="000000"/>
                        </a:solidFill>
                        <a:latin typeface="Cambria Math" panose="02040503050406030204" pitchFamily="18" charset="0"/>
                      </a:rPr>
                      <m:t>=</m:t>
                    </m:r>
                    <m:f>
                      <m:fPr>
                        <m:ctrlPr>
                          <a:rPr lang="he-IL" sz="1100" b="0" i="1">
                            <a:solidFill>
                              <a:sysClr val="windowText" lastClr="000000"/>
                            </a:solidFill>
                            <a:latin typeface="Cambria Math" panose="02040503050406030204" pitchFamily="18" charset="0"/>
                          </a:rPr>
                        </m:ctrlPr>
                      </m:fPr>
                      <m:num>
                        <m:r>
                          <a:rPr lang="he-IL" sz="1100" b="0" i="1">
                            <a:solidFill>
                              <a:sysClr val="windowText" lastClr="000000"/>
                            </a:solidFill>
                            <a:latin typeface="Cambria Math" panose="02040503050406030204" pitchFamily="18" charset="0"/>
                          </a:rPr>
                          <m:t>6∗(6+1)</m:t>
                        </m:r>
                      </m:num>
                      <m:den>
                        <m:r>
                          <a:rPr lang="he-IL" sz="1100" b="0" i="1">
                            <a:solidFill>
                              <a:sysClr val="windowText" lastClr="000000"/>
                            </a:solidFill>
                            <a:latin typeface="Cambria Math" panose="02040503050406030204" pitchFamily="18" charset="0"/>
                          </a:rPr>
                          <m:t>2</m:t>
                        </m:r>
                      </m:den>
                    </m:f>
                    <m:r>
                      <a:rPr lang="he-IL" sz="1100" b="0" i="1">
                        <a:solidFill>
                          <a:sysClr val="windowText" lastClr="000000"/>
                        </a:solidFill>
                        <a:latin typeface="Cambria Math" panose="02040503050406030204" pitchFamily="18" charset="0"/>
                      </a:rPr>
                      <m:t>=21</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D6584653-62BA-B646-FCA0-DC007A1C6865}"/>
                </a:ext>
              </a:extLst>
            </xdr:cNvPr>
            <xdr:cNvSpPr txBox="1"/>
          </xdr:nvSpPr>
          <xdr:spPr>
            <a:xfrm>
              <a:off x="13501531676" y="82755651"/>
              <a:ext cx="3028177" cy="3273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𝑆𝐷=</a:t>
              </a:r>
              <a:r>
                <a:rPr lang="en-US" sz="1100" b="0" i="0">
                  <a:solidFill>
                    <a:sysClr val="windowText" lastClr="000000"/>
                  </a:solidFill>
                  <a:latin typeface="Cambria Math" panose="02040503050406030204" pitchFamily="18" charset="0"/>
                </a:rPr>
                <a:t>(𝑛∗(𝑛+1))/2</a:t>
              </a:r>
              <a:r>
                <a:rPr lang="he-IL" sz="1100" b="0" i="0">
                  <a:solidFill>
                    <a:sysClr val="windowText" lastClr="000000"/>
                  </a:solidFill>
                  <a:latin typeface="Cambria Math" panose="02040503050406030204" pitchFamily="18" charset="0"/>
                </a:rPr>
                <a:t>=(6∗(6+1))/2=21</a:t>
              </a:r>
              <a:endParaRPr lang="en-US" sz="1100"/>
            </a:p>
          </xdr:txBody>
        </xdr:sp>
      </mc:Fallback>
    </mc:AlternateContent>
    <xdr:clientData/>
  </xdr:oneCellAnchor>
  <xdr:twoCellAnchor>
    <xdr:from>
      <xdr:col>0</xdr:col>
      <xdr:colOff>772398</xdr:colOff>
      <xdr:row>438</xdr:row>
      <xdr:rowOff>107690</xdr:rowOff>
    </xdr:from>
    <xdr:to>
      <xdr:col>6</xdr:col>
      <xdr:colOff>115117</xdr:colOff>
      <xdr:row>438</xdr:row>
      <xdr:rowOff>107690</xdr:rowOff>
    </xdr:to>
    <xdr:cxnSp macro="">
      <xdr:nvCxnSpPr>
        <xdr:cNvPr id="23" name="Straight Arrow Connector 22">
          <a:extLst>
            <a:ext uri="{FF2B5EF4-FFF2-40B4-BE49-F238E27FC236}">
              <a16:creationId xmlns:a16="http://schemas.microsoft.com/office/drawing/2014/main" id="{B808055B-8DF7-E8E5-35FF-B35D5ACC094B}"/>
            </a:ext>
          </a:extLst>
        </xdr:cNvPr>
        <xdr:cNvCxnSpPr/>
      </xdr:nvCxnSpPr>
      <xdr:spPr>
        <a:xfrm>
          <a:off x="13501678216" y="84384444"/>
          <a:ext cx="4289035" cy="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352778</xdr:colOff>
      <xdr:row>436</xdr:row>
      <xdr:rowOff>111238</xdr:rowOff>
    </xdr:from>
    <xdr:to>
      <xdr:col>5</xdr:col>
      <xdr:colOff>404766</xdr:colOff>
      <xdr:row>437</xdr:row>
      <xdr:rowOff>3714</xdr:rowOff>
    </xdr:to>
    <xdr:sp macro="" textlink="">
      <xdr:nvSpPr>
        <xdr:cNvPr id="24" name="Freeform 23">
          <a:extLst>
            <a:ext uri="{FF2B5EF4-FFF2-40B4-BE49-F238E27FC236}">
              <a16:creationId xmlns:a16="http://schemas.microsoft.com/office/drawing/2014/main" id="{20A5D638-A9BE-9946-3E6B-F103B64FD08D}"/>
            </a:ext>
          </a:extLst>
        </xdr:cNvPr>
        <xdr:cNvSpPr/>
      </xdr:nvSpPr>
      <xdr:spPr>
        <a:xfrm>
          <a:off x="13502212953" y="84387992"/>
          <a:ext cx="876374" cy="96716"/>
        </a:xfrm>
        <a:custGeom>
          <a:avLst/>
          <a:gdLst>
            <a:gd name="connsiteX0" fmla="*/ 0 w 876374"/>
            <a:gd name="connsiteY0" fmla="*/ 78148 h 96716"/>
            <a:gd name="connsiteX1" fmla="*/ 386199 w 876374"/>
            <a:gd name="connsiteY1" fmla="*/ 166 h 96716"/>
            <a:gd name="connsiteX2" fmla="*/ 876374 w 876374"/>
            <a:gd name="connsiteY2" fmla="*/ 96716 h 96716"/>
          </a:gdLst>
          <a:ahLst/>
          <a:cxnLst>
            <a:cxn ang="0">
              <a:pos x="connsiteX0" y="connsiteY0"/>
            </a:cxn>
            <a:cxn ang="0">
              <a:pos x="connsiteX1" y="connsiteY1"/>
            </a:cxn>
            <a:cxn ang="0">
              <a:pos x="connsiteX2" y="connsiteY2"/>
            </a:cxn>
          </a:cxnLst>
          <a:rect l="l" t="t" r="r" b="b"/>
          <a:pathLst>
            <a:path w="876374" h="96716">
              <a:moveTo>
                <a:pt x="0" y="78148"/>
              </a:moveTo>
              <a:cubicBezTo>
                <a:pt x="120068" y="37609"/>
                <a:pt x="240137" y="-2929"/>
                <a:pt x="386199" y="166"/>
              </a:cubicBezTo>
              <a:cubicBezTo>
                <a:pt x="532261" y="3261"/>
                <a:pt x="704317" y="49988"/>
                <a:pt x="876374" y="96716"/>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263655</xdr:colOff>
      <xdr:row>436</xdr:row>
      <xdr:rowOff>126092</xdr:rowOff>
    </xdr:from>
    <xdr:to>
      <xdr:col>4</xdr:col>
      <xdr:colOff>315643</xdr:colOff>
      <xdr:row>437</xdr:row>
      <xdr:rowOff>18568</xdr:rowOff>
    </xdr:to>
    <xdr:sp macro="" textlink="">
      <xdr:nvSpPr>
        <xdr:cNvPr id="25" name="Freeform 24">
          <a:extLst>
            <a:ext uri="{FF2B5EF4-FFF2-40B4-BE49-F238E27FC236}">
              <a16:creationId xmlns:a16="http://schemas.microsoft.com/office/drawing/2014/main" id="{7ECF8B0D-9E30-61AB-7DFA-BAA6CF3E009D}"/>
            </a:ext>
          </a:extLst>
        </xdr:cNvPr>
        <xdr:cNvSpPr/>
      </xdr:nvSpPr>
      <xdr:spPr>
        <a:xfrm>
          <a:off x="13503126462" y="84607086"/>
          <a:ext cx="876374" cy="96716"/>
        </a:xfrm>
        <a:custGeom>
          <a:avLst/>
          <a:gdLst>
            <a:gd name="connsiteX0" fmla="*/ 0 w 876374"/>
            <a:gd name="connsiteY0" fmla="*/ 78148 h 96716"/>
            <a:gd name="connsiteX1" fmla="*/ 386199 w 876374"/>
            <a:gd name="connsiteY1" fmla="*/ 166 h 96716"/>
            <a:gd name="connsiteX2" fmla="*/ 876374 w 876374"/>
            <a:gd name="connsiteY2" fmla="*/ 96716 h 96716"/>
          </a:gdLst>
          <a:ahLst/>
          <a:cxnLst>
            <a:cxn ang="0">
              <a:pos x="connsiteX0" y="connsiteY0"/>
            </a:cxn>
            <a:cxn ang="0">
              <a:pos x="connsiteX1" y="connsiteY1"/>
            </a:cxn>
            <a:cxn ang="0">
              <a:pos x="connsiteX2" y="connsiteY2"/>
            </a:cxn>
          </a:cxnLst>
          <a:rect l="l" t="t" r="r" b="b"/>
          <a:pathLst>
            <a:path w="876374" h="96716">
              <a:moveTo>
                <a:pt x="0" y="78148"/>
              </a:moveTo>
              <a:cubicBezTo>
                <a:pt x="120068" y="37609"/>
                <a:pt x="240137" y="-2929"/>
                <a:pt x="386199" y="166"/>
              </a:cubicBezTo>
              <a:cubicBezTo>
                <a:pt x="532261" y="3261"/>
                <a:pt x="704317" y="49988"/>
                <a:pt x="876374" y="96716"/>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185672</xdr:colOff>
      <xdr:row>436</xdr:row>
      <xdr:rowOff>133519</xdr:rowOff>
    </xdr:from>
    <xdr:to>
      <xdr:col>3</xdr:col>
      <xdr:colOff>237660</xdr:colOff>
      <xdr:row>437</xdr:row>
      <xdr:rowOff>25995</xdr:rowOff>
    </xdr:to>
    <xdr:sp macro="" textlink="">
      <xdr:nvSpPr>
        <xdr:cNvPr id="26" name="Freeform 25">
          <a:extLst>
            <a:ext uri="{FF2B5EF4-FFF2-40B4-BE49-F238E27FC236}">
              <a16:creationId xmlns:a16="http://schemas.microsoft.com/office/drawing/2014/main" id="{B82EBB76-FB3A-1B82-2E9F-E0C72615D9BC}"/>
            </a:ext>
          </a:extLst>
        </xdr:cNvPr>
        <xdr:cNvSpPr/>
      </xdr:nvSpPr>
      <xdr:spPr>
        <a:xfrm>
          <a:off x="13504028831" y="84614513"/>
          <a:ext cx="876374" cy="96716"/>
        </a:xfrm>
        <a:custGeom>
          <a:avLst/>
          <a:gdLst>
            <a:gd name="connsiteX0" fmla="*/ 0 w 876374"/>
            <a:gd name="connsiteY0" fmla="*/ 78148 h 96716"/>
            <a:gd name="connsiteX1" fmla="*/ 386199 w 876374"/>
            <a:gd name="connsiteY1" fmla="*/ 166 h 96716"/>
            <a:gd name="connsiteX2" fmla="*/ 876374 w 876374"/>
            <a:gd name="connsiteY2" fmla="*/ 96716 h 96716"/>
          </a:gdLst>
          <a:ahLst/>
          <a:cxnLst>
            <a:cxn ang="0">
              <a:pos x="connsiteX0" y="connsiteY0"/>
            </a:cxn>
            <a:cxn ang="0">
              <a:pos x="connsiteX1" y="connsiteY1"/>
            </a:cxn>
            <a:cxn ang="0">
              <a:pos x="connsiteX2" y="connsiteY2"/>
            </a:cxn>
          </a:cxnLst>
          <a:rect l="l" t="t" r="r" b="b"/>
          <a:pathLst>
            <a:path w="876374" h="96716">
              <a:moveTo>
                <a:pt x="0" y="78148"/>
              </a:moveTo>
              <a:cubicBezTo>
                <a:pt x="120068" y="37609"/>
                <a:pt x="240137" y="-2929"/>
                <a:pt x="386199" y="166"/>
              </a:cubicBezTo>
              <a:cubicBezTo>
                <a:pt x="532261" y="3261"/>
                <a:pt x="704317" y="49988"/>
                <a:pt x="876374" y="96716"/>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107690</xdr:colOff>
      <xdr:row>436</xdr:row>
      <xdr:rowOff>140946</xdr:rowOff>
    </xdr:from>
    <xdr:to>
      <xdr:col>2</xdr:col>
      <xdr:colOff>159678</xdr:colOff>
      <xdr:row>437</xdr:row>
      <xdr:rowOff>33422</xdr:rowOff>
    </xdr:to>
    <xdr:sp macro="" textlink="">
      <xdr:nvSpPr>
        <xdr:cNvPr id="27" name="Freeform 26">
          <a:extLst>
            <a:ext uri="{FF2B5EF4-FFF2-40B4-BE49-F238E27FC236}">
              <a16:creationId xmlns:a16="http://schemas.microsoft.com/office/drawing/2014/main" id="{99B600B1-578B-0D4B-14FA-76198AE55134}"/>
            </a:ext>
          </a:extLst>
        </xdr:cNvPr>
        <xdr:cNvSpPr/>
      </xdr:nvSpPr>
      <xdr:spPr>
        <a:xfrm>
          <a:off x="13504931199" y="84621940"/>
          <a:ext cx="876374" cy="96716"/>
        </a:xfrm>
        <a:custGeom>
          <a:avLst/>
          <a:gdLst>
            <a:gd name="connsiteX0" fmla="*/ 0 w 876374"/>
            <a:gd name="connsiteY0" fmla="*/ 78148 h 96716"/>
            <a:gd name="connsiteX1" fmla="*/ 386199 w 876374"/>
            <a:gd name="connsiteY1" fmla="*/ 166 h 96716"/>
            <a:gd name="connsiteX2" fmla="*/ 876374 w 876374"/>
            <a:gd name="connsiteY2" fmla="*/ 96716 h 96716"/>
          </a:gdLst>
          <a:ahLst/>
          <a:cxnLst>
            <a:cxn ang="0">
              <a:pos x="connsiteX0" y="connsiteY0"/>
            </a:cxn>
            <a:cxn ang="0">
              <a:pos x="connsiteX1" y="connsiteY1"/>
            </a:cxn>
            <a:cxn ang="0">
              <a:pos x="connsiteX2" y="connsiteY2"/>
            </a:cxn>
          </a:cxnLst>
          <a:rect l="l" t="t" r="r" b="b"/>
          <a:pathLst>
            <a:path w="876374" h="96716">
              <a:moveTo>
                <a:pt x="0" y="78148"/>
              </a:moveTo>
              <a:cubicBezTo>
                <a:pt x="120068" y="37609"/>
                <a:pt x="240137" y="-2929"/>
                <a:pt x="386199" y="166"/>
              </a:cubicBezTo>
              <a:cubicBezTo>
                <a:pt x="532261" y="3261"/>
                <a:pt x="704317" y="49988"/>
                <a:pt x="876374" y="96716"/>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2</xdr:col>
      <xdr:colOff>33421</xdr:colOff>
      <xdr:row>442</xdr:row>
      <xdr:rowOff>161090</xdr:rowOff>
    </xdr:from>
    <xdr:ext cx="2690254" cy="489108"/>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88578DFA-7863-18C3-0BD6-9EFBF991C092}"/>
                </a:ext>
              </a:extLst>
            </xdr:cNvPr>
            <xdr:cNvSpPr txBox="1"/>
          </xdr:nvSpPr>
          <xdr:spPr>
            <a:xfrm>
              <a:off x="13502367202" y="86480242"/>
              <a:ext cx="2690254" cy="4891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2020</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1,890−690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6</m:t>
                        </m:r>
                      </m:num>
                      <m:den>
                        <m:r>
                          <a:rPr lang="en-US" sz="1100" b="0" i="1">
                            <a:solidFill>
                              <a:srgbClr val="FF0000"/>
                            </a:solidFill>
                            <a:latin typeface="Cambria Math" panose="02040503050406030204" pitchFamily="18" charset="0"/>
                          </a:rPr>
                          <m:t>21</m:t>
                        </m:r>
                      </m:den>
                    </m:f>
                    <m:r>
                      <a:rPr lang="en-US" sz="1100" b="0" i="1">
                        <a:latin typeface="Cambria Math" panose="02040503050406030204" pitchFamily="18" charset="0"/>
                      </a:rPr>
                      <m:t>=</m:t>
                    </m:r>
                  </m:oMath>
                </m:oMathPara>
              </a14:m>
              <a:endParaRPr lang="en-US" sz="1100"/>
            </a:p>
            <a:p>
              <a:pPr algn="r" rtl="1"/>
              <a:endParaRPr lang="en-US" sz="1100"/>
            </a:p>
          </xdr:txBody>
        </xdr:sp>
      </mc:Choice>
      <mc:Fallback xmlns="">
        <xdr:sp macro="" textlink="">
          <xdr:nvSpPr>
            <xdr:cNvPr id="28" name="TextBox 27">
              <a:extLst>
                <a:ext uri="{FF2B5EF4-FFF2-40B4-BE49-F238E27FC236}">
                  <a16:creationId xmlns:a16="http://schemas.microsoft.com/office/drawing/2014/main" id="{88578DFA-7863-18C3-0BD6-9EFBF991C092}"/>
                </a:ext>
              </a:extLst>
            </xdr:cNvPr>
            <xdr:cNvSpPr txBox="1"/>
          </xdr:nvSpPr>
          <xdr:spPr>
            <a:xfrm>
              <a:off x="13502367202" y="86480242"/>
              <a:ext cx="2690254" cy="4891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𝐷_2020=(1,890−690)∗6/</a:t>
              </a:r>
              <a:r>
                <a:rPr lang="en-US" sz="1100" b="0" i="0">
                  <a:solidFill>
                    <a:srgbClr val="FF0000"/>
                  </a:solidFill>
                  <a:latin typeface="Cambria Math" panose="02040503050406030204" pitchFamily="18" charset="0"/>
                </a:rPr>
                <a:t>21</a:t>
              </a:r>
              <a:r>
                <a:rPr lang="en-US" sz="1100" b="0" i="0">
                  <a:latin typeface="Cambria Math" panose="02040503050406030204" pitchFamily="18" charset="0"/>
                </a:rPr>
                <a:t>=</a:t>
              </a:r>
              <a:endParaRPr lang="en-US" sz="1100"/>
            </a:p>
            <a:p>
              <a:pPr algn="r" rtl="1"/>
              <a:endParaRPr lang="en-US" sz="1100"/>
            </a:p>
          </xdr:txBody>
        </xdr:sp>
      </mc:Fallback>
    </mc:AlternateContent>
    <xdr:clientData/>
  </xdr:oneCellAnchor>
  <xdr:oneCellAnchor>
    <xdr:from>
      <xdr:col>2</xdr:col>
      <xdr:colOff>51988</xdr:colOff>
      <xdr:row>444</xdr:row>
      <xdr:rowOff>131381</xdr:rowOff>
    </xdr:from>
    <xdr:ext cx="2690254" cy="320344"/>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AA2CE4AA-B570-1109-44CE-EB26C9113B68}"/>
                </a:ext>
              </a:extLst>
            </xdr:cNvPr>
            <xdr:cNvSpPr txBox="1"/>
          </xdr:nvSpPr>
          <xdr:spPr>
            <a:xfrm>
              <a:off x="13502348635" y="86859013"/>
              <a:ext cx="2690254"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2021</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1,890−690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5</m:t>
                        </m:r>
                      </m:num>
                      <m:den>
                        <m:r>
                          <a:rPr lang="en-US" sz="1100" b="0" i="1">
                            <a:solidFill>
                              <a:srgbClr val="FF0000"/>
                            </a:solidFill>
                            <a:latin typeface="Cambria Math" panose="02040503050406030204" pitchFamily="18" charset="0"/>
                          </a:rPr>
                          <m:t>21</m:t>
                        </m:r>
                      </m:den>
                    </m:f>
                    <m:r>
                      <a:rPr lang="en-US" sz="1100" b="0" i="1">
                        <a:latin typeface="Cambria Math" panose="02040503050406030204" pitchFamily="18" charset="0"/>
                      </a:rPr>
                      <m:t>=</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AA2CE4AA-B570-1109-44CE-EB26C9113B68}"/>
                </a:ext>
              </a:extLst>
            </xdr:cNvPr>
            <xdr:cNvSpPr txBox="1"/>
          </xdr:nvSpPr>
          <xdr:spPr>
            <a:xfrm>
              <a:off x="13502348635" y="86859013"/>
              <a:ext cx="2690254"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𝐷_2021=(1,890−690)∗5/</a:t>
              </a:r>
              <a:r>
                <a:rPr lang="en-US" sz="1100" b="0" i="0">
                  <a:solidFill>
                    <a:srgbClr val="FF0000"/>
                  </a:solidFill>
                  <a:latin typeface="Cambria Math" panose="02040503050406030204" pitchFamily="18" charset="0"/>
                </a:rPr>
                <a:t>21</a:t>
              </a:r>
              <a:r>
                <a:rPr lang="en-US" sz="1100" b="0" i="0">
                  <a:latin typeface="Cambria Math" panose="02040503050406030204" pitchFamily="18" charset="0"/>
                </a:rPr>
                <a:t>=</a:t>
              </a:r>
              <a:endParaRPr lang="en-US" sz="1100"/>
            </a:p>
          </xdr:txBody>
        </xdr:sp>
      </mc:Fallback>
    </mc:AlternateContent>
    <xdr:clientData/>
  </xdr:oneCellAnchor>
  <xdr:oneCellAnchor>
    <xdr:from>
      <xdr:col>2</xdr:col>
      <xdr:colOff>51988</xdr:colOff>
      <xdr:row>446</xdr:row>
      <xdr:rowOff>123955</xdr:rowOff>
    </xdr:from>
    <xdr:ext cx="2690254" cy="320344"/>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00CC8A7D-248E-CEEF-66BE-85D26C3A8D9C}"/>
                </a:ext>
              </a:extLst>
            </xdr:cNvPr>
            <xdr:cNvSpPr txBox="1"/>
          </xdr:nvSpPr>
          <xdr:spPr>
            <a:xfrm>
              <a:off x="13502348635" y="87260066"/>
              <a:ext cx="2690254"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2022</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1,890−690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4</m:t>
                        </m:r>
                      </m:num>
                      <m:den>
                        <m:r>
                          <a:rPr lang="en-US" sz="1100" b="0" i="1">
                            <a:solidFill>
                              <a:srgbClr val="FF0000"/>
                            </a:solidFill>
                            <a:latin typeface="Cambria Math" panose="02040503050406030204" pitchFamily="18" charset="0"/>
                          </a:rPr>
                          <m:t>21</m:t>
                        </m:r>
                      </m:den>
                    </m:f>
                    <m:r>
                      <a:rPr lang="en-US" sz="1100" b="0" i="1">
                        <a:latin typeface="Cambria Math" panose="02040503050406030204" pitchFamily="18" charset="0"/>
                      </a:rPr>
                      <m:t>=</m:t>
                    </m:r>
                  </m:oMath>
                </m:oMathPara>
              </a14:m>
              <a:endParaRPr lang="en-US" sz="1100"/>
            </a:p>
          </xdr:txBody>
        </xdr:sp>
      </mc:Choice>
      <mc:Fallback xmlns="">
        <xdr:sp macro="" textlink="">
          <xdr:nvSpPr>
            <xdr:cNvPr id="30" name="TextBox 29">
              <a:extLst>
                <a:ext uri="{FF2B5EF4-FFF2-40B4-BE49-F238E27FC236}">
                  <a16:creationId xmlns:a16="http://schemas.microsoft.com/office/drawing/2014/main" id="{00CC8A7D-248E-CEEF-66BE-85D26C3A8D9C}"/>
                </a:ext>
              </a:extLst>
            </xdr:cNvPr>
            <xdr:cNvSpPr txBox="1"/>
          </xdr:nvSpPr>
          <xdr:spPr>
            <a:xfrm>
              <a:off x="13502348635" y="87260066"/>
              <a:ext cx="2690254"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𝐷_2022=(1,890−690)∗4/</a:t>
              </a:r>
              <a:r>
                <a:rPr lang="en-US" sz="1100" b="0" i="0">
                  <a:solidFill>
                    <a:srgbClr val="FF0000"/>
                  </a:solidFill>
                  <a:latin typeface="Cambria Math" panose="02040503050406030204" pitchFamily="18" charset="0"/>
                </a:rPr>
                <a:t>21</a:t>
              </a:r>
              <a:r>
                <a:rPr lang="en-US" sz="1100" b="0" i="0">
                  <a:latin typeface="Cambria Math" panose="02040503050406030204" pitchFamily="18" charset="0"/>
                </a:rPr>
                <a:t>=</a:t>
              </a:r>
              <a:endParaRPr lang="en-US" sz="1100"/>
            </a:p>
          </xdr:txBody>
        </xdr:sp>
      </mc:Fallback>
    </mc:AlternateContent>
    <xdr:clientData/>
  </xdr:oneCellAnchor>
  <xdr:oneCellAnchor>
    <xdr:from>
      <xdr:col>2</xdr:col>
      <xdr:colOff>66843</xdr:colOff>
      <xdr:row>448</xdr:row>
      <xdr:rowOff>138809</xdr:rowOff>
    </xdr:from>
    <xdr:ext cx="2690254" cy="320344"/>
    <mc:AlternateContent xmlns:mc="http://schemas.openxmlformats.org/markup-compatibility/2006" xmlns:a14="http://schemas.microsoft.com/office/drawing/2010/main">
      <mc:Choice Requires="a14">
        <xdr:sp macro="" textlink="">
          <xdr:nvSpPr>
            <xdr:cNvPr id="31" name="TextBox 30">
              <a:extLst>
                <a:ext uri="{FF2B5EF4-FFF2-40B4-BE49-F238E27FC236}">
                  <a16:creationId xmlns:a16="http://schemas.microsoft.com/office/drawing/2014/main" id="{D919E6DF-B89C-C3EC-76F4-15F50A47377B}"/>
                </a:ext>
              </a:extLst>
            </xdr:cNvPr>
            <xdr:cNvSpPr txBox="1"/>
          </xdr:nvSpPr>
          <xdr:spPr>
            <a:xfrm>
              <a:off x="13502333780" y="87683400"/>
              <a:ext cx="2690254"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2023</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1,890−690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3</m:t>
                        </m:r>
                      </m:num>
                      <m:den>
                        <m:r>
                          <a:rPr lang="en-US" sz="1100" b="0" i="1">
                            <a:solidFill>
                              <a:srgbClr val="FF0000"/>
                            </a:solidFill>
                            <a:latin typeface="Cambria Math" panose="02040503050406030204" pitchFamily="18" charset="0"/>
                          </a:rPr>
                          <m:t>21</m:t>
                        </m:r>
                      </m:den>
                    </m:f>
                    <m:r>
                      <a:rPr lang="en-US" sz="1100" b="0" i="1">
                        <a:latin typeface="Cambria Math" panose="02040503050406030204" pitchFamily="18" charset="0"/>
                      </a:rPr>
                      <m:t>=</m:t>
                    </m:r>
                  </m:oMath>
                </m:oMathPara>
              </a14:m>
              <a:endParaRPr lang="en-US" sz="1100"/>
            </a:p>
          </xdr:txBody>
        </xdr:sp>
      </mc:Choice>
      <mc:Fallback xmlns="">
        <xdr:sp macro="" textlink="">
          <xdr:nvSpPr>
            <xdr:cNvPr id="31" name="TextBox 30">
              <a:extLst>
                <a:ext uri="{FF2B5EF4-FFF2-40B4-BE49-F238E27FC236}">
                  <a16:creationId xmlns:a16="http://schemas.microsoft.com/office/drawing/2014/main" id="{D919E6DF-B89C-C3EC-76F4-15F50A47377B}"/>
                </a:ext>
              </a:extLst>
            </xdr:cNvPr>
            <xdr:cNvSpPr txBox="1"/>
          </xdr:nvSpPr>
          <xdr:spPr>
            <a:xfrm>
              <a:off x="13502333780" y="87683400"/>
              <a:ext cx="2690254"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𝐷_2023=(1,890−690)∗3/</a:t>
              </a:r>
              <a:r>
                <a:rPr lang="en-US" sz="1100" b="0" i="0">
                  <a:solidFill>
                    <a:srgbClr val="FF0000"/>
                  </a:solidFill>
                  <a:latin typeface="Cambria Math" panose="02040503050406030204" pitchFamily="18" charset="0"/>
                </a:rPr>
                <a:t>21</a:t>
              </a:r>
              <a:r>
                <a:rPr lang="en-US" sz="1100" b="0" i="0">
                  <a:latin typeface="Cambria Math" panose="02040503050406030204" pitchFamily="18" charset="0"/>
                </a:rPr>
                <a:t>=</a:t>
              </a:r>
              <a:endParaRPr lang="en-US" sz="1100"/>
            </a:p>
          </xdr:txBody>
        </xdr:sp>
      </mc:Fallback>
    </mc:AlternateContent>
    <xdr:clientData/>
  </xdr:oneCellAnchor>
  <xdr:twoCellAnchor editAs="oneCell">
    <xdr:from>
      <xdr:col>5</xdr:col>
      <xdr:colOff>34925</xdr:colOff>
      <xdr:row>452</xdr:row>
      <xdr:rowOff>38210</xdr:rowOff>
    </xdr:from>
    <xdr:to>
      <xdr:col>8</xdr:col>
      <xdr:colOff>89569</xdr:colOff>
      <xdr:row>459</xdr:row>
      <xdr:rowOff>32580</xdr:rowOff>
    </xdr:to>
    <xdr:pic>
      <xdr:nvPicPr>
        <xdr:cNvPr id="32" name="Picture 31" descr="For German Butchers, a Wurst Case Scenario | Arts &amp; Culture| Smithsonian  Magazine">
          <a:extLst>
            <a:ext uri="{FF2B5EF4-FFF2-40B4-BE49-F238E27FC236}">
              <a16:creationId xmlns:a16="http://schemas.microsoft.com/office/drawing/2014/main" id="{181D5713-6D8B-1589-FB95-A1684ED4FD2B}"/>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3518298431" y="92291010"/>
          <a:ext cx="2531144" cy="14167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59514</xdr:colOff>
      <xdr:row>472</xdr:row>
      <xdr:rowOff>44562</xdr:rowOff>
    </xdr:from>
    <xdr:to>
      <xdr:col>8</xdr:col>
      <xdr:colOff>48423</xdr:colOff>
      <xdr:row>480</xdr:row>
      <xdr:rowOff>161663</xdr:rowOff>
    </xdr:to>
    <xdr:pic>
      <xdr:nvPicPr>
        <xdr:cNvPr id="33" name="Picture 32">
          <a:extLst>
            <a:ext uri="{FF2B5EF4-FFF2-40B4-BE49-F238E27FC236}">
              <a16:creationId xmlns:a16="http://schemas.microsoft.com/office/drawing/2014/main" id="{EC72A974-FDFB-6191-0554-709985C13124}"/>
            </a:ext>
          </a:extLst>
        </xdr:cNvPr>
        <xdr:cNvPicPr>
          <a:picLocks noChangeAspect="1"/>
        </xdr:cNvPicPr>
      </xdr:nvPicPr>
      <xdr:blipFill>
        <a:blip xmlns:r="http://schemas.openxmlformats.org/officeDocument/2006/relationships" r:embed="rId7"/>
        <a:stretch>
          <a:fillRect/>
        </a:stretch>
      </xdr:blipFill>
      <xdr:spPr>
        <a:xfrm>
          <a:off x="13500096138" y="90448509"/>
          <a:ext cx="4110839" cy="1751020"/>
        </a:xfrm>
        <a:prstGeom prst="rect">
          <a:avLst/>
        </a:prstGeom>
      </xdr:spPr>
    </xdr:pic>
    <xdr:clientData/>
  </xdr:twoCellAnchor>
  <xdr:twoCellAnchor>
    <xdr:from>
      <xdr:col>4</xdr:col>
      <xdr:colOff>375058</xdr:colOff>
      <xdr:row>474</xdr:row>
      <xdr:rowOff>103977</xdr:rowOff>
    </xdr:from>
    <xdr:to>
      <xdr:col>5</xdr:col>
      <xdr:colOff>393625</xdr:colOff>
      <xdr:row>475</xdr:row>
      <xdr:rowOff>85409</xdr:rowOff>
    </xdr:to>
    <xdr:sp macro="" textlink="">
      <xdr:nvSpPr>
        <xdr:cNvPr id="34" name="Rectangle 33">
          <a:extLst>
            <a:ext uri="{FF2B5EF4-FFF2-40B4-BE49-F238E27FC236}">
              <a16:creationId xmlns:a16="http://schemas.microsoft.com/office/drawing/2014/main" id="{FF5E928A-1567-E682-5A7B-31B69BC57EBE}"/>
            </a:ext>
          </a:extLst>
        </xdr:cNvPr>
        <xdr:cNvSpPr/>
      </xdr:nvSpPr>
      <xdr:spPr>
        <a:xfrm>
          <a:off x="13502224094" y="90916404"/>
          <a:ext cx="842953" cy="185672"/>
        </a:xfrm>
        <a:prstGeom prst="rect">
          <a:avLst/>
        </a:prstGeom>
        <a:solidFill>
          <a:schemeClr val="bg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ln>
                <a:solidFill>
                  <a:sysClr val="windowText" lastClr="000000"/>
                </a:solidFill>
              </a:ln>
            </a:rPr>
            <a:t>בואו נתחיל</a:t>
          </a:r>
          <a:endParaRPr lang="en-US" sz="1100">
            <a:ln>
              <a:solidFill>
                <a:sysClr val="windowText" lastClr="000000"/>
              </a:solidFill>
            </a:ln>
          </a:endParaRPr>
        </a:p>
      </xdr:txBody>
    </xdr:sp>
    <xdr:clientData/>
  </xdr:twoCellAnchor>
  <xdr:twoCellAnchor editAs="oneCell">
    <xdr:from>
      <xdr:col>0</xdr:col>
      <xdr:colOff>453041</xdr:colOff>
      <xdr:row>481</xdr:row>
      <xdr:rowOff>167370</xdr:rowOff>
    </xdr:from>
    <xdr:to>
      <xdr:col>1</xdr:col>
      <xdr:colOff>21538</xdr:colOff>
      <xdr:row>483</xdr:row>
      <xdr:rowOff>67585</xdr:rowOff>
    </xdr:to>
    <xdr:pic>
      <xdr:nvPicPr>
        <xdr:cNvPr id="35" name="Picture 34">
          <a:extLst>
            <a:ext uri="{FF2B5EF4-FFF2-40B4-BE49-F238E27FC236}">
              <a16:creationId xmlns:a16="http://schemas.microsoft.com/office/drawing/2014/main" id="{A0E878E6-21A1-8709-DE77-66CABFA75974}"/>
            </a:ext>
          </a:extLst>
        </xdr:cNvPr>
        <xdr:cNvPicPr>
          <a:picLocks noChangeAspect="1"/>
        </xdr:cNvPicPr>
      </xdr:nvPicPr>
      <xdr:blipFill>
        <a:blip xmlns:r="http://schemas.openxmlformats.org/officeDocument/2006/relationships" r:embed="rId8"/>
        <a:stretch>
          <a:fillRect/>
        </a:stretch>
      </xdr:blipFill>
      <xdr:spPr>
        <a:xfrm>
          <a:off x="13505893725" y="92409475"/>
          <a:ext cx="392883" cy="308694"/>
        </a:xfrm>
        <a:prstGeom prst="rect">
          <a:avLst/>
        </a:prstGeom>
      </xdr:spPr>
    </xdr:pic>
    <xdr:clientData/>
  </xdr:twoCellAnchor>
  <xdr:twoCellAnchor editAs="oneCell">
    <xdr:from>
      <xdr:col>1</xdr:col>
      <xdr:colOff>14854</xdr:colOff>
      <xdr:row>482</xdr:row>
      <xdr:rowOff>152516</xdr:rowOff>
    </xdr:from>
    <xdr:to>
      <xdr:col>1</xdr:col>
      <xdr:colOff>407737</xdr:colOff>
      <xdr:row>484</xdr:row>
      <xdr:rowOff>52730</xdr:rowOff>
    </xdr:to>
    <xdr:pic>
      <xdr:nvPicPr>
        <xdr:cNvPr id="36" name="Picture 35">
          <a:extLst>
            <a:ext uri="{FF2B5EF4-FFF2-40B4-BE49-F238E27FC236}">
              <a16:creationId xmlns:a16="http://schemas.microsoft.com/office/drawing/2014/main" id="{0ACDB82E-E884-9664-B72E-0C5A1FE2D471}"/>
            </a:ext>
          </a:extLst>
        </xdr:cNvPr>
        <xdr:cNvPicPr>
          <a:picLocks noChangeAspect="1"/>
        </xdr:cNvPicPr>
      </xdr:nvPicPr>
      <xdr:blipFill>
        <a:blip xmlns:r="http://schemas.openxmlformats.org/officeDocument/2006/relationships" r:embed="rId8"/>
        <a:stretch>
          <a:fillRect/>
        </a:stretch>
      </xdr:blipFill>
      <xdr:spPr>
        <a:xfrm>
          <a:off x="13505507526" y="92598861"/>
          <a:ext cx="392883" cy="308694"/>
        </a:xfrm>
        <a:prstGeom prst="rect">
          <a:avLst/>
        </a:prstGeom>
      </xdr:spPr>
    </xdr:pic>
    <xdr:clientData/>
  </xdr:twoCellAnchor>
  <xdr:twoCellAnchor editAs="oneCell">
    <xdr:from>
      <xdr:col>1</xdr:col>
      <xdr:colOff>412193</xdr:colOff>
      <xdr:row>483</xdr:row>
      <xdr:rowOff>141375</xdr:rowOff>
    </xdr:from>
    <xdr:to>
      <xdr:col>1</xdr:col>
      <xdr:colOff>805076</xdr:colOff>
      <xdr:row>485</xdr:row>
      <xdr:rowOff>41590</xdr:rowOff>
    </xdr:to>
    <xdr:pic>
      <xdr:nvPicPr>
        <xdr:cNvPr id="37" name="Picture 36">
          <a:extLst>
            <a:ext uri="{FF2B5EF4-FFF2-40B4-BE49-F238E27FC236}">
              <a16:creationId xmlns:a16="http://schemas.microsoft.com/office/drawing/2014/main" id="{7C790C64-8F5F-FBAD-F8C7-D29547B60E7C}"/>
            </a:ext>
          </a:extLst>
        </xdr:cNvPr>
        <xdr:cNvPicPr>
          <a:picLocks noChangeAspect="1"/>
        </xdr:cNvPicPr>
      </xdr:nvPicPr>
      <xdr:blipFill>
        <a:blip xmlns:r="http://schemas.openxmlformats.org/officeDocument/2006/relationships" r:embed="rId8"/>
        <a:stretch>
          <a:fillRect/>
        </a:stretch>
      </xdr:blipFill>
      <xdr:spPr>
        <a:xfrm>
          <a:off x="13505110187" y="92791960"/>
          <a:ext cx="392883" cy="308694"/>
        </a:xfrm>
        <a:prstGeom prst="rect">
          <a:avLst/>
        </a:prstGeom>
      </xdr:spPr>
    </xdr:pic>
    <xdr:clientData/>
  </xdr:twoCellAnchor>
  <xdr:twoCellAnchor editAs="oneCell">
    <xdr:from>
      <xdr:col>1</xdr:col>
      <xdr:colOff>92837</xdr:colOff>
      <xdr:row>485</xdr:row>
      <xdr:rowOff>171084</xdr:rowOff>
    </xdr:from>
    <xdr:to>
      <xdr:col>1</xdr:col>
      <xdr:colOff>485720</xdr:colOff>
      <xdr:row>487</xdr:row>
      <xdr:rowOff>71298</xdr:rowOff>
    </xdr:to>
    <xdr:pic>
      <xdr:nvPicPr>
        <xdr:cNvPr id="38" name="Picture 37">
          <a:extLst>
            <a:ext uri="{FF2B5EF4-FFF2-40B4-BE49-F238E27FC236}">
              <a16:creationId xmlns:a16="http://schemas.microsoft.com/office/drawing/2014/main" id="{769AD3C1-3E26-D29E-C32A-97EC3E78F43A}"/>
            </a:ext>
          </a:extLst>
        </xdr:cNvPr>
        <xdr:cNvPicPr>
          <a:picLocks noChangeAspect="1"/>
        </xdr:cNvPicPr>
      </xdr:nvPicPr>
      <xdr:blipFill>
        <a:blip xmlns:r="http://schemas.openxmlformats.org/officeDocument/2006/relationships" r:embed="rId8"/>
        <a:stretch>
          <a:fillRect/>
        </a:stretch>
      </xdr:blipFill>
      <xdr:spPr>
        <a:xfrm>
          <a:off x="13505429543" y="93230148"/>
          <a:ext cx="392883" cy="308694"/>
        </a:xfrm>
        <a:prstGeom prst="rect">
          <a:avLst/>
        </a:prstGeom>
      </xdr:spPr>
    </xdr:pic>
    <xdr:clientData/>
  </xdr:twoCellAnchor>
  <xdr:twoCellAnchor>
    <xdr:from>
      <xdr:col>0</xdr:col>
      <xdr:colOff>393700</xdr:colOff>
      <xdr:row>497</xdr:row>
      <xdr:rowOff>85725</xdr:rowOff>
    </xdr:from>
    <xdr:to>
      <xdr:col>7</xdr:col>
      <xdr:colOff>495300</xdr:colOff>
      <xdr:row>497</xdr:row>
      <xdr:rowOff>95250</xdr:rowOff>
    </xdr:to>
    <xdr:cxnSp macro="">
      <xdr:nvCxnSpPr>
        <xdr:cNvPr id="40" name="Straight Arrow Connector 39">
          <a:extLst>
            <a:ext uri="{FF2B5EF4-FFF2-40B4-BE49-F238E27FC236}">
              <a16:creationId xmlns:a16="http://schemas.microsoft.com/office/drawing/2014/main" id="{BE61BC3E-9928-51C1-C729-941E01F231F0}"/>
            </a:ext>
          </a:extLst>
        </xdr:cNvPr>
        <xdr:cNvCxnSpPr/>
      </xdr:nvCxnSpPr>
      <xdr:spPr>
        <a:xfrm>
          <a:off x="13518718200" y="94522925"/>
          <a:ext cx="5880100" cy="9525"/>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250825</xdr:colOff>
      <xdr:row>494</xdr:row>
      <xdr:rowOff>203124</xdr:rowOff>
    </xdr:from>
    <xdr:to>
      <xdr:col>7</xdr:col>
      <xdr:colOff>323850</xdr:colOff>
      <xdr:row>496</xdr:row>
      <xdr:rowOff>6350</xdr:rowOff>
    </xdr:to>
    <xdr:sp macro="" textlink="">
      <xdr:nvSpPr>
        <xdr:cNvPr id="42" name="Freeform 41">
          <a:extLst>
            <a:ext uri="{FF2B5EF4-FFF2-40B4-BE49-F238E27FC236}">
              <a16:creationId xmlns:a16="http://schemas.microsoft.com/office/drawing/2014/main" id="{632EFAD7-E6FD-1CE8-1084-59EC5D13221F}"/>
            </a:ext>
          </a:extLst>
        </xdr:cNvPr>
        <xdr:cNvSpPr/>
      </xdr:nvSpPr>
      <xdr:spPr>
        <a:xfrm>
          <a:off x="13518889650" y="94640324"/>
          <a:ext cx="1724025" cy="209626"/>
        </a:xfrm>
        <a:custGeom>
          <a:avLst/>
          <a:gdLst>
            <a:gd name="connsiteX0" fmla="*/ 0 w 1724025"/>
            <a:gd name="connsiteY0" fmla="*/ 190576 h 209626"/>
            <a:gd name="connsiteX1" fmla="*/ 850900 w 1724025"/>
            <a:gd name="connsiteY1" fmla="*/ 76 h 209626"/>
            <a:gd name="connsiteX2" fmla="*/ 1724025 w 1724025"/>
            <a:gd name="connsiteY2" fmla="*/ 209626 h 209626"/>
          </a:gdLst>
          <a:ahLst/>
          <a:cxnLst>
            <a:cxn ang="0">
              <a:pos x="connsiteX0" y="connsiteY0"/>
            </a:cxn>
            <a:cxn ang="0">
              <a:pos x="connsiteX1" y="connsiteY1"/>
            </a:cxn>
            <a:cxn ang="0">
              <a:pos x="connsiteX2" y="connsiteY2"/>
            </a:cxn>
          </a:cxnLst>
          <a:rect l="l" t="t" r="r" b="b"/>
          <a:pathLst>
            <a:path w="1724025" h="209626">
              <a:moveTo>
                <a:pt x="0" y="190576"/>
              </a:moveTo>
              <a:cubicBezTo>
                <a:pt x="281781" y="93738"/>
                <a:pt x="563563" y="-3099"/>
                <a:pt x="850900" y="76"/>
              </a:cubicBezTo>
              <a:cubicBezTo>
                <a:pt x="1138237" y="3251"/>
                <a:pt x="1431131" y="106438"/>
                <a:pt x="1724025" y="209626"/>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107950</xdr:colOff>
      <xdr:row>495</xdr:row>
      <xdr:rowOff>25324</xdr:rowOff>
    </xdr:from>
    <xdr:to>
      <xdr:col>5</xdr:col>
      <xdr:colOff>180975</xdr:colOff>
      <xdr:row>496</xdr:row>
      <xdr:rowOff>31750</xdr:rowOff>
    </xdr:to>
    <xdr:sp macro="" textlink="">
      <xdr:nvSpPr>
        <xdr:cNvPr id="43" name="Freeform 42">
          <a:extLst>
            <a:ext uri="{FF2B5EF4-FFF2-40B4-BE49-F238E27FC236}">
              <a16:creationId xmlns:a16="http://schemas.microsoft.com/office/drawing/2014/main" id="{E27460CD-B231-5F80-3A66-BAEDA2DF56DC}"/>
            </a:ext>
          </a:extLst>
        </xdr:cNvPr>
        <xdr:cNvSpPr/>
      </xdr:nvSpPr>
      <xdr:spPr>
        <a:xfrm>
          <a:off x="13520683525" y="94665724"/>
          <a:ext cx="1724025" cy="209626"/>
        </a:xfrm>
        <a:custGeom>
          <a:avLst/>
          <a:gdLst>
            <a:gd name="connsiteX0" fmla="*/ 0 w 1724025"/>
            <a:gd name="connsiteY0" fmla="*/ 190576 h 209626"/>
            <a:gd name="connsiteX1" fmla="*/ 850900 w 1724025"/>
            <a:gd name="connsiteY1" fmla="*/ 76 h 209626"/>
            <a:gd name="connsiteX2" fmla="*/ 1724025 w 1724025"/>
            <a:gd name="connsiteY2" fmla="*/ 209626 h 209626"/>
          </a:gdLst>
          <a:ahLst/>
          <a:cxnLst>
            <a:cxn ang="0">
              <a:pos x="connsiteX0" y="connsiteY0"/>
            </a:cxn>
            <a:cxn ang="0">
              <a:pos x="connsiteX1" y="connsiteY1"/>
            </a:cxn>
            <a:cxn ang="0">
              <a:pos x="connsiteX2" y="connsiteY2"/>
            </a:cxn>
          </a:cxnLst>
          <a:rect l="l" t="t" r="r" b="b"/>
          <a:pathLst>
            <a:path w="1724025" h="209626">
              <a:moveTo>
                <a:pt x="0" y="190576"/>
              </a:moveTo>
              <a:cubicBezTo>
                <a:pt x="281781" y="93738"/>
                <a:pt x="563563" y="-3099"/>
                <a:pt x="850900" y="76"/>
              </a:cubicBezTo>
              <a:cubicBezTo>
                <a:pt x="1138237" y="3251"/>
                <a:pt x="1431131" y="106438"/>
                <a:pt x="1724025" y="209626"/>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9525</xdr:colOff>
      <xdr:row>495</xdr:row>
      <xdr:rowOff>31674</xdr:rowOff>
    </xdr:from>
    <xdr:to>
      <xdr:col>3</xdr:col>
      <xdr:colOff>82550</xdr:colOff>
      <xdr:row>496</xdr:row>
      <xdr:rowOff>38100</xdr:rowOff>
    </xdr:to>
    <xdr:sp macro="" textlink="">
      <xdr:nvSpPr>
        <xdr:cNvPr id="44" name="Freeform 43">
          <a:extLst>
            <a:ext uri="{FF2B5EF4-FFF2-40B4-BE49-F238E27FC236}">
              <a16:creationId xmlns:a16="http://schemas.microsoft.com/office/drawing/2014/main" id="{3B4EC3C9-EF23-4F00-1658-4A0B8965912F}"/>
            </a:ext>
          </a:extLst>
        </xdr:cNvPr>
        <xdr:cNvSpPr/>
      </xdr:nvSpPr>
      <xdr:spPr>
        <a:xfrm>
          <a:off x="13522432950" y="94672074"/>
          <a:ext cx="1724025" cy="209626"/>
        </a:xfrm>
        <a:custGeom>
          <a:avLst/>
          <a:gdLst>
            <a:gd name="connsiteX0" fmla="*/ 0 w 1724025"/>
            <a:gd name="connsiteY0" fmla="*/ 190576 h 209626"/>
            <a:gd name="connsiteX1" fmla="*/ 850900 w 1724025"/>
            <a:gd name="connsiteY1" fmla="*/ 76 h 209626"/>
            <a:gd name="connsiteX2" fmla="*/ 1724025 w 1724025"/>
            <a:gd name="connsiteY2" fmla="*/ 209626 h 209626"/>
          </a:gdLst>
          <a:ahLst/>
          <a:cxnLst>
            <a:cxn ang="0">
              <a:pos x="connsiteX0" y="connsiteY0"/>
            </a:cxn>
            <a:cxn ang="0">
              <a:pos x="connsiteX1" y="connsiteY1"/>
            </a:cxn>
            <a:cxn ang="0">
              <a:pos x="connsiteX2" y="connsiteY2"/>
            </a:cxn>
          </a:cxnLst>
          <a:rect l="l" t="t" r="r" b="b"/>
          <a:pathLst>
            <a:path w="1724025" h="209626">
              <a:moveTo>
                <a:pt x="0" y="190576"/>
              </a:moveTo>
              <a:cubicBezTo>
                <a:pt x="281781" y="93738"/>
                <a:pt x="563563" y="-3099"/>
                <a:pt x="850900" y="76"/>
              </a:cubicBezTo>
              <a:cubicBezTo>
                <a:pt x="1138237" y="3251"/>
                <a:pt x="1431131" y="106438"/>
                <a:pt x="1724025" y="209626"/>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355600</xdr:colOff>
      <xdr:row>497</xdr:row>
      <xdr:rowOff>57149</xdr:rowOff>
    </xdr:from>
    <xdr:to>
      <xdr:col>7</xdr:col>
      <xdr:colOff>393700</xdr:colOff>
      <xdr:row>498</xdr:row>
      <xdr:rowOff>28574</xdr:rowOff>
    </xdr:to>
    <xdr:sp macro="" textlink="">
      <xdr:nvSpPr>
        <xdr:cNvPr id="45" name="Left Brace 44">
          <a:extLst>
            <a:ext uri="{FF2B5EF4-FFF2-40B4-BE49-F238E27FC236}">
              <a16:creationId xmlns:a16="http://schemas.microsoft.com/office/drawing/2014/main" id="{2944ED60-38B7-2514-A57E-BF11318B1906}"/>
            </a:ext>
          </a:extLst>
        </xdr:cNvPr>
        <xdr:cNvSpPr/>
      </xdr:nvSpPr>
      <xdr:spPr>
        <a:xfrm rot="16200000">
          <a:off x="13519164287" y="94759462"/>
          <a:ext cx="174625" cy="863600"/>
        </a:xfrm>
        <a:prstGeom prst="leftBrace">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6</xdr:col>
      <xdr:colOff>663575</xdr:colOff>
      <xdr:row>498</xdr:row>
      <xdr:rowOff>66675</xdr:rowOff>
    </xdr:from>
    <xdr:ext cx="247768" cy="316882"/>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6D98FFD5-DBF7-BE72-3EDD-FF6F9C9B23E6}"/>
                </a:ext>
              </a:extLst>
            </xdr:cNvPr>
            <xdr:cNvSpPr txBox="1"/>
          </xdr:nvSpPr>
          <xdr:spPr>
            <a:xfrm>
              <a:off x="13519127657" y="95316675"/>
              <a:ext cx="2477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9</m:t>
                        </m:r>
                      </m:num>
                      <m:den>
                        <m:r>
                          <a:rPr lang="en-US" sz="1100" b="0" i="1">
                            <a:latin typeface="Cambria Math" panose="02040503050406030204" pitchFamily="18" charset="0"/>
                          </a:rPr>
                          <m:t>12</m:t>
                        </m:r>
                      </m:den>
                    </m:f>
                  </m:oMath>
                </m:oMathPara>
              </a14:m>
              <a:endParaRPr lang="en-US" sz="1100"/>
            </a:p>
          </xdr:txBody>
        </xdr:sp>
      </mc:Choice>
      <mc:Fallback xmlns="">
        <xdr:sp macro="" textlink="">
          <xdr:nvSpPr>
            <xdr:cNvPr id="46" name="TextBox 45">
              <a:extLst>
                <a:ext uri="{FF2B5EF4-FFF2-40B4-BE49-F238E27FC236}">
                  <a16:creationId xmlns:a16="http://schemas.microsoft.com/office/drawing/2014/main" id="{6D98FFD5-DBF7-BE72-3EDD-FF6F9C9B23E6}"/>
                </a:ext>
              </a:extLst>
            </xdr:cNvPr>
            <xdr:cNvSpPr txBox="1"/>
          </xdr:nvSpPr>
          <xdr:spPr>
            <a:xfrm>
              <a:off x="13519127657" y="95316675"/>
              <a:ext cx="2477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9/12</a:t>
              </a:r>
              <a:endParaRPr lang="en-US" sz="1100"/>
            </a:p>
          </xdr:txBody>
        </xdr:sp>
      </mc:Fallback>
    </mc:AlternateContent>
    <xdr:clientData/>
  </xdr:oneCellAnchor>
  <xdr:oneCellAnchor>
    <xdr:from>
      <xdr:col>3</xdr:col>
      <xdr:colOff>349251</xdr:colOff>
      <xdr:row>500</xdr:row>
      <xdr:rowOff>88900</xdr:rowOff>
    </xdr:from>
    <xdr:ext cx="3292593" cy="427489"/>
    <mc:AlternateContent xmlns:mc="http://schemas.openxmlformats.org/markup-compatibility/2006" xmlns:a14="http://schemas.microsoft.com/office/drawing/2010/main">
      <mc:Choice Requires="a14">
        <xdr:sp macro="" textlink="">
          <xdr:nvSpPr>
            <xdr:cNvPr id="47" name="TextBox 46">
              <a:extLst>
                <a:ext uri="{FF2B5EF4-FFF2-40B4-BE49-F238E27FC236}">
                  <a16:creationId xmlns:a16="http://schemas.microsoft.com/office/drawing/2014/main" id="{9FB5581C-C5A8-5A89-DF5A-8DFC213319C3}"/>
                </a:ext>
              </a:extLst>
            </xdr:cNvPr>
            <xdr:cNvSpPr txBox="1"/>
          </xdr:nvSpPr>
          <xdr:spPr>
            <a:xfrm>
              <a:off x="13518873656" y="95745300"/>
              <a:ext cx="3292593" cy="4274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2018</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5,000,000−800,000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m:t>
                        </m:r>
                        <m:f>
                          <m:fPr>
                            <m:ctrlPr>
                              <a:rPr lang="en-US" sz="1100" b="0" i="1">
                                <a:latin typeface="Cambria Math" panose="02040503050406030204" pitchFamily="18" charset="0"/>
                              </a:rPr>
                            </m:ctrlPr>
                          </m:fPr>
                          <m:num>
                            <m:r>
                              <a:rPr lang="en-US" sz="1100" b="0" i="1">
                                <a:latin typeface="Cambria Math" panose="02040503050406030204" pitchFamily="18" charset="0"/>
                              </a:rPr>
                              <m:t>9</m:t>
                            </m:r>
                          </m:num>
                          <m:den>
                            <m:r>
                              <a:rPr lang="en-US" sz="1100" b="0" i="1">
                                <a:latin typeface="Cambria Math" panose="02040503050406030204" pitchFamily="18" charset="0"/>
                              </a:rPr>
                              <m:t>12</m:t>
                            </m:r>
                          </m:den>
                        </m:f>
                      </m:num>
                      <m:den>
                        <m:r>
                          <a:rPr lang="en-US" sz="1100" b="0" i="1">
                            <a:latin typeface="Cambria Math" panose="02040503050406030204" pitchFamily="18" charset="0"/>
                          </a:rPr>
                          <m:t>55</m:t>
                        </m:r>
                      </m:den>
                    </m:f>
                    <m:r>
                      <a:rPr lang="en-US" sz="1100" b="0" i="1">
                        <a:latin typeface="Cambria Math" panose="02040503050406030204" pitchFamily="18" charset="0"/>
                      </a:rPr>
                      <m:t>=</m:t>
                    </m:r>
                  </m:oMath>
                </m:oMathPara>
              </a14:m>
              <a:endParaRPr lang="en-US" sz="1100"/>
            </a:p>
          </xdr:txBody>
        </xdr:sp>
      </mc:Choice>
      <mc:Fallback xmlns="">
        <xdr:sp macro="" textlink="">
          <xdr:nvSpPr>
            <xdr:cNvPr id="47" name="TextBox 46">
              <a:extLst>
                <a:ext uri="{FF2B5EF4-FFF2-40B4-BE49-F238E27FC236}">
                  <a16:creationId xmlns:a16="http://schemas.microsoft.com/office/drawing/2014/main" id="{9FB5581C-C5A8-5A89-DF5A-8DFC213319C3}"/>
                </a:ext>
              </a:extLst>
            </xdr:cNvPr>
            <xdr:cNvSpPr txBox="1"/>
          </xdr:nvSpPr>
          <xdr:spPr>
            <a:xfrm>
              <a:off x="13518873656" y="95745300"/>
              <a:ext cx="3292593" cy="4274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𝐷_2018=(5,000,000−800,000)∗(10∗9/12)/55=</a:t>
              </a:r>
              <a:endParaRPr lang="en-US" sz="1100"/>
            </a:p>
          </xdr:txBody>
        </xdr:sp>
      </mc:Fallback>
    </mc:AlternateContent>
    <xdr:clientData/>
  </xdr:oneCellAnchor>
  <xdr:twoCellAnchor>
    <xdr:from>
      <xdr:col>5</xdr:col>
      <xdr:colOff>285749</xdr:colOff>
      <xdr:row>497</xdr:row>
      <xdr:rowOff>53974</xdr:rowOff>
    </xdr:from>
    <xdr:to>
      <xdr:col>6</xdr:col>
      <xdr:colOff>323849</xdr:colOff>
      <xdr:row>498</xdr:row>
      <xdr:rowOff>25399</xdr:rowOff>
    </xdr:to>
    <xdr:sp macro="" textlink="">
      <xdr:nvSpPr>
        <xdr:cNvPr id="48" name="Left Brace 47">
          <a:extLst>
            <a:ext uri="{FF2B5EF4-FFF2-40B4-BE49-F238E27FC236}">
              <a16:creationId xmlns:a16="http://schemas.microsoft.com/office/drawing/2014/main" id="{FF742D60-FA35-8BEC-A490-C949DB75F9EF}"/>
            </a:ext>
          </a:extLst>
        </xdr:cNvPr>
        <xdr:cNvSpPr/>
      </xdr:nvSpPr>
      <xdr:spPr>
        <a:xfrm rot="16200000">
          <a:off x="13520059638" y="94756287"/>
          <a:ext cx="174625" cy="863600"/>
        </a:xfrm>
        <a:prstGeom prst="leftBrace">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5</xdr:col>
      <xdr:colOff>584200</xdr:colOff>
      <xdr:row>498</xdr:row>
      <xdr:rowOff>66675</xdr:rowOff>
    </xdr:from>
    <xdr:ext cx="247768" cy="316882"/>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D306E983-FADE-7F85-4AFD-9699E3599136}"/>
                </a:ext>
              </a:extLst>
            </xdr:cNvPr>
            <xdr:cNvSpPr txBox="1"/>
          </xdr:nvSpPr>
          <xdr:spPr>
            <a:xfrm>
              <a:off x="13520032532" y="95316675"/>
              <a:ext cx="2477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3</m:t>
                        </m:r>
                      </m:num>
                      <m:den>
                        <m:r>
                          <a:rPr lang="en-US" sz="1100" b="0" i="1">
                            <a:latin typeface="Cambria Math" panose="02040503050406030204" pitchFamily="18" charset="0"/>
                          </a:rPr>
                          <m:t>12</m:t>
                        </m:r>
                      </m:den>
                    </m:f>
                  </m:oMath>
                </m:oMathPara>
              </a14:m>
              <a:endParaRPr lang="en-US" sz="1100"/>
            </a:p>
          </xdr:txBody>
        </xdr:sp>
      </mc:Choice>
      <mc:Fallback xmlns="">
        <xdr:sp macro="" textlink="">
          <xdr:nvSpPr>
            <xdr:cNvPr id="49" name="TextBox 48">
              <a:extLst>
                <a:ext uri="{FF2B5EF4-FFF2-40B4-BE49-F238E27FC236}">
                  <a16:creationId xmlns:a16="http://schemas.microsoft.com/office/drawing/2014/main" id="{D306E983-FADE-7F85-4AFD-9699E3599136}"/>
                </a:ext>
              </a:extLst>
            </xdr:cNvPr>
            <xdr:cNvSpPr txBox="1"/>
          </xdr:nvSpPr>
          <xdr:spPr>
            <a:xfrm>
              <a:off x="13520032532" y="95316675"/>
              <a:ext cx="2477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3/12</a:t>
              </a:r>
              <a:endParaRPr lang="en-US" sz="1100"/>
            </a:p>
          </xdr:txBody>
        </xdr:sp>
      </mc:Fallback>
    </mc:AlternateContent>
    <xdr:clientData/>
  </xdr:oneCellAnchor>
  <xdr:twoCellAnchor>
    <xdr:from>
      <xdr:col>4</xdr:col>
      <xdr:colOff>206372</xdr:colOff>
      <xdr:row>497</xdr:row>
      <xdr:rowOff>53974</xdr:rowOff>
    </xdr:from>
    <xdr:to>
      <xdr:col>5</xdr:col>
      <xdr:colOff>244472</xdr:colOff>
      <xdr:row>498</xdr:row>
      <xdr:rowOff>25399</xdr:rowOff>
    </xdr:to>
    <xdr:sp macro="" textlink="">
      <xdr:nvSpPr>
        <xdr:cNvPr id="50" name="Left Brace 49">
          <a:extLst>
            <a:ext uri="{FF2B5EF4-FFF2-40B4-BE49-F238E27FC236}">
              <a16:creationId xmlns:a16="http://schemas.microsoft.com/office/drawing/2014/main" id="{A6417C88-3B88-FC38-56BC-8B33B6D1AE86}"/>
            </a:ext>
          </a:extLst>
        </xdr:cNvPr>
        <xdr:cNvSpPr/>
      </xdr:nvSpPr>
      <xdr:spPr>
        <a:xfrm rot="16200000">
          <a:off x="13520964515" y="94756287"/>
          <a:ext cx="174625" cy="863600"/>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4</xdr:col>
      <xdr:colOff>504825</xdr:colOff>
      <xdr:row>498</xdr:row>
      <xdr:rowOff>63500</xdr:rowOff>
    </xdr:from>
    <xdr:ext cx="247768" cy="316882"/>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E663DB77-F267-B2D1-ABC7-920A12F9367F}"/>
                </a:ext>
              </a:extLst>
            </xdr:cNvPr>
            <xdr:cNvSpPr txBox="1"/>
          </xdr:nvSpPr>
          <xdr:spPr>
            <a:xfrm>
              <a:off x="13520937407" y="95313500"/>
              <a:ext cx="2477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9</m:t>
                        </m:r>
                      </m:num>
                      <m:den>
                        <m:r>
                          <a:rPr lang="en-US" sz="1100" b="0" i="1">
                            <a:latin typeface="Cambria Math" panose="02040503050406030204" pitchFamily="18" charset="0"/>
                          </a:rPr>
                          <m:t>12</m:t>
                        </m:r>
                      </m:den>
                    </m:f>
                  </m:oMath>
                </m:oMathPara>
              </a14:m>
              <a:endParaRPr lang="en-US" sz="1100"/>
            </a:p>
          </xdr:txBody>
        </xdr:sp>
      </mc:Choice>
      <mc:Fallback xmlns="">
        <xdr:sp macro="" textlink="">
          <xdr:nvSpPr>
            <xdr:cNvPr id="51" name="TextBox 50">
              <a:extLst>
                <a:ext uri="{FF2B5EF4-FFF2-40B4-BE49-F238E27FC236}">
                  <a16:creationId xmlns:a16="http://schemas.microsoft.com/office/drawing/2014/main" id="{E663DB77-F267-B2D1-ABC7-920A12F9367F}"/>
                </a:ext>
              </a:extLst>
            </xdr:cNvPr>
            <xdr:cNvSpPr txBox="1"/>
          </xdr:nvSpPr>
          <xdr:spPr>
            <a:xfrm>
              <a:off x="13520937407" y="95313500"/>
              <a:ext cx="2477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9/12</a:t>
              </a:r>
              <a:endParaRPr lang="en-US" sz="1100"/>
            </a:p>
          </xdr:txBody>
        </xdr:sp>
      </mc:Fallback>
    </mc:AlternateContent>
    <xdr:clientData/>
  </xdr:oneCellAnchor>
  <xdr:oneCellAnchor>
    <xdr:from>
      <xdr:col>3</xdr:col>
      <xdr:colOff>346076</xdr:colOff>
      <xdr:row>502</xdr:row>
      <xdr:rowOff>187325</xdr:rowOff>
    </xdr:from>
    <xdr:ext cx="3292593" cy="427489"/>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6AB31C83-997A-35FA-3038-8D04F05ABA68}"/>
                </a:ext>
              </a:extLst>
            </xdr:cNvPr>
            <xdr:cNvSpPr txBox="1"/>
          </xdr:nvSpPr>
          <xdr:spPr>
            <a:xfrm>
              <a:off x="13518876831" y="96250125"/>
              <a:ext cx="3292593" cy="4274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2019</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5,000,000−800,000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m:t>
                        </m:r>
                        <m:f>
                          <m:fPr>
                            <m:ctrlPr>
                              <a:rPr lang="en-US" sz="1100" b="0" i="1">
                                <a:latin typeface="Cambria Math" panose="02040503050406030204" pitchFamily="18" charset="0"/>
                              </a:rPr>
                            </m:ctrlPr>
                          </m:fPr>
                          <m:num>
                            <m:r>
                              <a:rPr lang="en-US" sz="1100" b="0" i="1">
                                <a:latin typeface="Cambria Math" panose="02040503050406030204" pitchFamily="18" charset="0"/>
                              </a:rPr>
                              <m:t>3</m:t>
                            </m:r>
                          </m:num>
                          <m:den>
                            <m:r>
                              <a:rPr lang="en-US" sz="1100" b="0" i="1">
                                <a:latin typeface="Cambria Math" panose="02040503050406030204" pitchFamily="18" charset="0"/>
                              </a:rPr>
                              <m:t>12</m:t>
                            </m:r>
                          </m:den>
                        </m:f>
                        <m:r>
                          <a:rPr lang="en-US" sz="1100" b="0" i="1">
                            <a:latin typeface="Cambria Math" panose="02040503050406030204" pitchFamily="18" charset="0"/>
                          </a:rPr>
                          <m:t>+9∗</m:t>
                        </m:r>
                        <m:f>
                          <m:fPr>
                            <m:ctrlPr>
                              <a:rPr lang="en-US" sz="1100" b="0" i="1">
                                <a:latin typeface="Cambria Math" panose="02040503050406030204" pitchFamily="18" charset="0"/>
                              </a:rPr>
                            </m:ctrlPr>
                          </m:fPr>
                          <m:num>
                            <m:r>
                              <a:rPr lang="en-US" sz="1100" b="0" i="1">
                                <a:latin typeface="Cambria Math" panose="02040503050406030204" pitchFamily="18" charset="0"/>
                              </a:rPr>
                              <m:t>9</m:t>
                            </m:r>
                          </m:num>
                          <m:den>
                            <m:r>
                              <a:rPr lang="en-US" sz="1100" b="0" i="1">
                                <a:latin typeface="Cambria Math" panose="02040503050406030204" pitchFamily="18" charset="0"/>
                              </a:rPr>
                              <m:t>12</m:t>
                            </m:r>
                          </m:den>
                        </m:f>
                      </m:num>
                      <m:den>
                        <m:r>
                          <a:rPr lang="en-US" sz="1100" b="0" i="1">
                            <a:latin typeface="Cambria Math" panose="02040503050406030204" pitchFamily="18" charset="0"/>
                          </a:rPr>
                          <m:t>55</m:t>
                        </m:r>
                      </m:den>
                    </m:f>
                    <m:r>
                      <a:rPr lang="en-US" sz="1100" b="0" i="1">
                        <a:latin typeface="Cambria Math" panose="02040503050406030204" pitchFamily="18" charset="0"/>
                      </a:rPr>
                      <m:t>=</m:t>
                    </m:r>
                  </m:oMath>
                </m:oMathPara>
              </a14:m>
              <a:endParaRPr lang="en-US" sz="1100"/>
            </a:p>
          </xdr:txBody>
        </xdr:sp>
      </mc:Choice>
      <mc:Fallback xmlns="">
        <xdr:sp macro="" textlink="">
          <xdr:nvSpPr>
            <xdr:cNvPr id="52" name="TextBox 51">
              <a:extLst>
                <a:ext uri="{FF2B5EF4-FFF2-40B4-BE49-F238E27FC236}">
                  <a16:creationId xmlns:a16="http://schemas.microsoft.com/office/drawing/2014/main" id="{6AB31C83-997A-35FA-3038-8D04F05ABA68}"/>
                </a:ext>
              </a:extLst>
            </xdr:cNvPr>
            <xdr:cNvSpPr txBox="1"/>
          </xdr:nvSpPr>
          <xdr:spPr>
            <a:xfrm>
              <a:off x="13518876831" y="96250125"/>
              <a:ext cx="3292593" cy="4274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𝐷_2019=(5,000,000−800,000)∗(10∗3/12+9∗9/12)/55=</a:t>
              </a:r>
              <a:endParaRPr lang="en-US" sz="1100"/>
            </a:p>
          </xdr:txBody>
        </xdr:sp>
      </mc:Fallback>
    </mc:AlternateContent>
    <xdr:clientData/>
  </xdr:oneCellAnchor>
  <xdr:oneCellAnchor>
    <xdr:from>
      <xdr:col>3</xdr:col>
      <xdr:colOff>346076</xdr:colOff>
      <xdr:row>505</xdr:row>
      <xdr:rowOff>139700</xdr:rowOff>
    </xdr:from>
    <xdr:ext cx="3292593" cy="427489"/>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1C740FC0-957F-824A-0EEB-ADC4736A8E61}"/>
                </a:ext>
              </a:extLst>
            </xdr:cNvPr>
            <xdr:cNvSpPr txBox="1"/>
          </xdr:nvSpPr>
          <xdr:spPr>
            <a:xfrm>
              <a:off x="13518876831" y="96812100"/>
              <a:ext cx="3292593" cy="4274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2020</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5,000,000−800,000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9∗</m:t>
                        </m:r>
                        <m:f>
                          <m:fPr>
                            <m:ctrlPr>
                              <a:rPr lang="en-US" sz="1100" b="0" i="1">
                                <a:latin typeface="Cambria Math" panose="02040503050406030204" pitchFamily="18" charset="0"/>
                              </a:rPr>
                            </m:ctrlPr>
                          </m:fPr>
                          <m:num>
                            <m:r>
                              <a:rPr lang="en-US" sz="1100" b="0" i="1">
                                <a:latin typeface="Cambria Math" panose="02040503050406030204" pitchFamily="18" charset="0"/>
                              </a:rPr>
                              <m:t>3</m:t>
                            </m:r>
                          </m:num>
                          <m:den>
                            <m:r>
                              <a:rPr lang="en-US" sz="1100" b="0" i="1">
                                <a:latin typeface="Cambria Math" panose="02040503050406030204" pitchFamily="18" charset="0"/>
                              </a:rPr>
                              <m:t>12</m:t>
                            </m:r>
                          </m:den>
                        </m:f>
                        <m:r>
                          <a:rPr lang="en-US" sz="1100" b="0" i="1">
                            <a:latin typeface="Cambria Math" panose="02040503050406030204" pitchFamily="18" charset="0"/>
                          </a:rPr>
                          <m:t>+8∗</m:t>
                        </m:r>
                        <m:f>
                          <m:fPr>
                            <m:ctrlPr>
                              <a:rPr lang="en-US" sz="1100" b="0" i="1">
                                <a:latin typeface="Cambria Math" panose="02040503050406030204" pitchFamily="18" charset="0"/>
                              </a:rPr>
                            </m:ctrlPr>
                          </m:fPr>
                          <m:num>
                            <m:r>
                              <a:rPr lang="en-US" sz="1100" b="0" i="1">
                                <a:latin typeface="Cambria Math" panose="02040503050406030204" pitchFamily="18" charset="0"/>
                              </a:rPr>
                              <m:t>9</m:t>
                            </m:r>
                          </m:num>
                          <m:den>
                            <m:r>
                              <a:rPr lang="en-US" sz="1100" b="0" i="1">
                                <a:latin typeface="Cambria Math" panose="02040503050406030204" pitchFamily="18" charset="0"/>
                              </a:rPr>
                              <m:t>12</m:t>
                            </m:r>
                          </m:den>
                        </m:f>
                      </m:num>
                      <m:den>
                        <m:r>
                          <a:rPr lang="en-US" sz="1100" b="0" i="1">
                            <a:latin typeface="Cambria Math" panose="02040503050406030204" pitchFamily="18" charset="0"/>
                          </a:rPr>
                          <m:t>55</m:t>
                        </m:r>
                      </m:den>
                    </m:f>
                    <m:r>
                      <a:rPr lang="en-US" sz="1100" b="0" i="1">
                        <a:latin typeface="Cambria Math" panose="02040503050406030204" pitchFamily="18" charset="0"/>
                      </a:rPr>
                      <m:t>=</m:t>
                    </m:r>
                  </m:oMath>
                </m:oMathPara>
              </a14:m>
              <a:endParaRPr lang="en-US" sz="1100"/>
            </a:p>
          </xdr:txBody>
        </xdr:sp>
      </mc:Choice>
      <mc:Fallback xmlns="">
        <xdr:sp macro="" textlink="">
          <xdr:nvSpPr>
            <xdr:cNvPr id="53" name="TextBox 52">
              <a:extLst>
                <a:ext uri="{FF2B5EF4-FFF2-40B4-BE49-F238E27FC236}">
                  <a16:creationId xmlns:a16="http://schemas.microsoft.com/office/drawing/2014/main" id="{1C740FC0-957F-824A-0EEB-ADC4736A8E61}"/>
                </a:ext>
              </a:extLst>
            </xdr:cNvPr>
            <xdr:cNvSpPr txBox="1"/>
          </xdr:nvSpPr>
          <xdr:spPr>
            <a:xfrm>
              <a:off x="13518876831" y="96812100"/>
              <a:ext cx="3292593" cy="4274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𝐷_2020=(5,000,000−800,000)∗(9∗3/12+8∗9/12)/55=</a:t>
              </a:r>
              <a:endParaRPr lang="en-US" sz="1100"/>
            </a:p>
          </xdr:txBody>
        </xdr:sp>
      </mc:Fallback>
    </mc:AlternateContent>
    <xdr:clientData/>
  </xdr:oneCellAnchor>
  <xdr:twoCellAnchor>
    <xdr:from>
      <xdr:col>3</xdr:col>
      <xdr:colOff>142871</xdr:colOff>
      <xdr:row>497</xdr:row>
      <xdr:rowOff>57149</xdr:rowOff>
    </xdr:from>
    <xdr:to>
      <xdr:col>4</xdr:col>
      <xdr:colOff>180971</xdr:colOff>
      <xdr:row>498</xdr:row>
      <xdr:rowOff>28574</xdr:rowOff>
    </xdr:to>
    <xdr:sp macro="" textlink="">
      <xdr:nvSpPr>
        <xdr:cNvPr id="54" name="Left Brace 53">
          <a:extLst>
            <a:ext uri="{FF2B5EF4-FFF2-40B4-BE49-F238E27FC236}">
              <a16:creationId xmlns:a16="http://schemas.microsoft.com/office/drawing/2014/main" id="{730B04F8-0162-3CF9-3C02-37759B652352}"/>
            </a:ext>
          </a:extLst>
        </xdr:cNvPr>
        <xdr:cNvSpPr/>
      </xdr:nvSpPr>
      <xdr:spPr>
        <a:xfrm rot="16200000">
          <a:off x="13521853516" y="94759462"/>
          <a:ext cx="174625" cy="863600"/>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3</xdr:col>
      <xdr:colOff>454025</xdr:colOff>
      <xdr:row>498</xdr:row>
      <xdr:rowOff>47625</xdr:rowOff>
    </xdr:from>
    <xdr:ext cx="247768" cy="316882"/>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EFCCD69D-6498-E0AB-CE73-A1487C8EF490}"/>
                </a:ext>
              </a:extLst>
            </xdr:cNvPr>
            <xdr:cNvSpPr txBox="1"/>
          </xdr:nvSpPr>
          <xdr:spPr>
            <a:xfrm>
              <a:off x="13521813707" y="95297625"/>
              <a:ext cx="2477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3</m:t>
                        </m:r>
                      </m:num>
                      <m:den>
                        <m:r>
                          <a:rPr lang="en-US" sz="1100" b="0" i="1">
                            <a:latin typeface="Cambria Math" panose="02040503050406030204" pitchFamily="18" charset="0"/>
                          </a:rPr>
                          <m:t>12</m:t>
                        </m:r>
                      </m:den>
                    </m:f>
                  </m:oMath>
                </m:oMathPara>
              </a14:m>
              <a:endParaRPr lang="en-US" sz="1100"/>
            </a:p>
          </xdr:txBody>
        </xdr:sp>
      </mc:Choice>
      <mc:Fallback xmlns="">
        <xdr:sp macro="" textlink="">
          <xdr:nvSpPr>
            <xdr:cNvPr id="55" name="TextBox 54">
              <a:extLst>
                <a:ext uri="{FF2B5EF4-FFF2-40B4-BE49-F238E27FC236}">
                  <a16:creationId xmlns:a16="http://schemas.microsoft.com/office/drawing/2014/main" id="{EFCCD69D-6498-E0AB-CE73-A1487C8EF490}"/>
                </a:ext>
              </a:extLst>
            </xdr:cNvPr>
            <xdr:cNvSpPr txBox="1"/>
          </xdr:nvSpPr>
          <xdr:spPr>
            <a:xfrm>
              <a:off x="13521813707" y="95297625"/>
              <a:ext cx="2477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3/12</a:t>
              </a:r>
              <a:endParaRPr lang="en-US" sz="1100"/>
            </a:p>
          </xdr:txBody>
        </xdr:sp>
      </mc:Fallback>
    </mc:AlternateContent>
    <xdr:clientData/>
  </xdr:oneCellAnchor>
  <xdr:twoCellAnchor>
    <xdr:from>
      <xdr:col>2</xdr:col>
      <xdr:colOff>152397</xdr:colOff>
      <xdr:row>497</xdr:row>
      <xdr:rowOff>47624</xdr:rowOff>
    </xdr:from>
    <xdr:to>
      <xdr:col>3</xdr:col>
      <xdr:colOff>85719</xdr:colOff>
      <xdr:row>498</xdr:row>
      <xdr:rowOff>22224</xdr:rowOff>
    </xdr:to>
    <xdr:sp macro="" textlink="">
      <xdr:nvSpPr>
        <xdr:cNvPr id="56" name="Left Brace 55">
          <a:extLst>
            <a:ext uri="{FF2B5EF4-FFF2-40B4-BE49-F238E27FC236}">
              <a16:creationId xmlns:a16="http://schemas.microsoft.com/office/drawing/2014/main" id="{AC7BC89F-6C7C-39D9-5FAA-1B12F4AB9EBC}"/>
            </a:ext>
          </a:extLst>
        </xdr:cNvPr>
        <xdr:cNvSpPr/>
      </xdr:nvSpPr>
      <xdr:spPr>
        <a:xfrm rot="16200000">
          <a:off x="13522720292" y="94803913"/>
          <a:ext cx="177800" cy="758822"/>
        </a:xfrm>
        <a:prstGeom prst="leftBrace">
          <a:avLst/>
        </a:prstGeom>
      </xdr:spPr>
      <xdr:style>
        <a:lnRef idx="3">
          <a:schemeClr val="accent5"/>
        </a:lnRef>
        <a:fillRef idx="0">
          <a:schemeClr val="accent5"/>
        </a:fillRef>
        <a:effectRef idx="2">
          <a:schemeClr val="accent5"/>
        </a:effectRef>
        <a:fontRef idx="minor">
          <a:schemeClr val="tx1"/>
        </a:fontRef>
      </xdr:style>
      <xdr:txBody>
        <a:bodyPr vertOverflow="clip" horzOverflow="clip" rtlCol="0" anchor="t"/>
        <a:lstStyle/>
        <a:p>
          <a:pPr algn="r" rtl="1"/>
          <a:endParaRPr lang="en-US" sz="1100"/>
        </a:p>
      </xdr:txBody>
    </xdr:sp>
    <xdr:clientData/>
  </xdr:twoCellAnchor>
  <xdr:oneCellAnchor>
    <xdr:from>
      <xdr:col>2</xdr:col>
      <xdr:colOff>381000</xdr:colOff>
      <xdr:row>498</xdr:row>
      <xdr:rowOff>50800</xdr:rowOff>
    </xdr:from>
    <xdr:ext cx="247768" cy="316882"/>
    <mc:AlternateContent xmlns:mc="http://schemas.openxmlformats.org/markup-compatibility/2006" xmlns:a14="http://schemas.microsoft.com/office/drawing/2010/main">
      <mc:Choice Requires="a14">
        <xdr:sp macro="" textlink="">
          <xdr:nvSpPr>
            <xdr:cNvPr id="57" name="TextBox 56">
              <a:extLst>
                <a:ext uri="{FF2B5EF4-FFF2-40B4-BE49-F238E27FC236}">
                  <a16:creationId xmlns:a16="http://schemas.microsoft.com/office/drawing/2014/main" id="{6F412235-CAC3-E781-E80E-E3759554E1B7}"/>
                </a:ext>
              </a:extLst>
            </xdr:cNvPr>
            <xdr:cNvSpPr txBox="1"/>
          </xdr:nvSpPr>
          <xdr:spPr>
            <a:xfrm>
              <a:off x="13522712232" y="95300800"/>
              <a:ext cx="2477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9</m:t>
                        </m:r>
                      </m:num>
                      <m:den>
                        <m:r>
                          <a:rPr lang="en-US" sz="1100" b="0" i="1">
                            <a:latin typeface="Cambria Math" panose="02040503050406030204" pitchFamily="18" charset="0"/>
                          </a:rPr>
                          <m:t>12</m:t>
                        </m:r>
                      </m:den>
                    </m:f>
                  </m:oMath>
                </m:oMathPara>
              </a14:m>
              <a:endParaRPr lang="en-US" sz="1100"/>
            </a:p>
          </xdr:txBody>
        </xdr:sp>
      </mc:Choice>
      <mc:Fallback xmlns="">
        <xdr:sp macro="" textlink="">
          <xdr:nvSpPr>
            <xdr:cNvPr id="57" name="TextBox 56">
              <a:extLst>
                <a:ext uri="{FF2B5EF4-FFF2-40B4-BE49-F238E27FC236}">
                  <a16:creationId xmlns:a16="http://schemas.microsoft.com/office/drawing/2014/main" id="{6F412235-CAC3-E781-E80E-E3759554E1B7}"/>
                </a:ext>
              </a:extLst>
            </xdr:cNvPr>
            <xdr:cNvSpPr txBox="1"/>
          </xdr:nvSpPr>
          <xdr:spPr>
            <a:xfrm>
              <a:off x="13522712232" y="95300800"/>
              <a:ext cx="2477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9/12</a:t>
              </a:r>
              <a:endParaRPr lang="en-US" sz="1100"/>
            </a:p>
          </xdr:txBody>
        </xdr:sp>
      </mc:Fallback>
    </mc:AlternateContent>
    <xdr:clientData/>
  </xdr:oneCellAnchor>
  <xdr:twoCellAnchor editAs="oneCell">
    <xdr:from>
      <xdr:col>7</xdr:col>
      <xdr:colOff>187325</xdr:colOff>
      <xdr:row>3</xdr:row>
      <xdr:rowOff>7898</xdr:rowOff>
    </xdr:from>
    <xdr:to>
      <xdr:col>7</xdr:col>
      <xdr:colOff>809625</xdr:colOff>
      <xdr:row>6</xdr:row>
      <xdr:rowOff>88899</xdr:rowOff>
    </xdr:to>
    <xdr:pic>
      <xdr:nvPicPr>
        <xdr:cNvPr id="19" name="Picture 18">
          <a:extLst>
            <a:ext uri="{FF2B5EF4-FFF2-40B4-BE49-F238E27FC236}">
              <a16:creationId xmlns:a16="http://schemas.microsoft.com/office/drawing/2014/main" id="{A9772ADE-2247-8CAB-7869-B0E6E4586CCD}"/>
            </a:ext>
          </a:extLst>
        </xdr:cNvPr>
        <xdr:cNvPicPr>
          <a:picLocks noChangeAspect="1"/>
        </xdr:cNvPicPr>
      </xdr:nvPicPr>
      <xdr:blipFill>
        <a:blip xmlns:r="http://schemas.openxmlformats.org/officeDocument/2006/relationships" r:embed="rId9"/>
        <a:stretch>
          <a:fillRect/>
        </a:stretch>
      </xdr:blipFill>
      <xdr:spPr>
        <a:xfrm>
          <a:off x="13518403875" y="617498"/>
          <a:ext cx="622300" cy="690601"/>
        </a:xfrm>
        <a:prstGeom prst="rect">
          <a:avLst/>
        </a:prstGeom>
      </xdr:spPr>
    </xdr:pic>
    <xdr:clientData/>
  </xdr:twoCellAnchor>
  <xdr:twoCellAnchor>
    <xdr:from>
      <xdr:col>6</xdr:col>
      <xdr:colOff>666750</xdr:colOff>
      <xdr:row>3</xdr:row>
      <xdr:rowOff>155575</xdr:rowOff>
    </xdr:from>
    <xdr:to>
      <xdr:col>7</xdr:col>
      <xdr:colOff>69850</xdr:colOff>
      <xdr:row>5</xdr:row>
      <xdr:rowOff>25400</xdr:rowOff>
    </xdr:to>
    <xdr:sp macro="" textlink="">
      <xdr:nvSpPr>
        <xdr:cNvPr id="22" name="Heart 21">
          <a:extLst>
            <a:ext uri="{FF2B5EF4-FFF2-40B4-BE49-F238E27FC236}">
              <a16:creationId xmlns:a16="http://schemas.microsoft.com/office/drawing/2014/main" id="{F801FF17-615D-1C29-7080-DCB483685BC5}"/>
            </a:ext>
          </a:extLst>
        </xdr:cNvPr>
        <xdr:cNvSpPr/>
      </xdr:nvSpPr>
      <xdr:spPr>
        <a:xfrm>
          <a:off x="13519143650" y="765175"/>
          <a:ext cx="228600" cy="276225"/>
        </a:xfrm>
        <a:prstGeom prst="hear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5</xdr:col>
      <xdr:colOff>790575</xdr:colOff>
      <xdr:row>2</xdr:row>
      <xdr:rowOff>159385</xdr:rowOff>
    </xdr:from>
    <xdr:to>
      <xdr:col>6</xdr:col>
      <xdr:colOff>568325</xdr:colOff>
      <xdr:row>4</xdr:row>
      <xdr:rowOff>187325</xdr:rowOff>
    </xdr:to>
    <xdr:pic>
      <xdr:nvPicPr>
        <xdr:cNvPr id="39" name="Picture 38">
          <a:extLst>
            <a:ext uri="{FF2B5EF4-FFF2-40B4-BE49-F238E27FC236}">
              <a16:creationId xmlns:a16="http://schemas.microsoft.com/office/drawing/2014/main" id="{8B9B1693-61B2-8157-A7FD-CE8E58FE3430}"/>
            </a:ext>
          </a:extLst>
        </xdr:cNvPr>
        <xdr:cNvPicPr>
          <a:picLocks noChangeAspect="1"/>
        </xdr:cNvPicPr>
      </xdr:nvPicPr>
      <xdr:blipFill>
        <a:blip xmlns:r="http://schemas.openxmlformats.org/officeDocument/2006/relationships" r:embed="rId10"/>
        <a:stretch>
          <a:fillRect/>
        </a:stretch>
      </xdr:blipFill>
      <xdr:spPr>
        <a:xfrm>
          <a:off x="13519470675" y="565785"/>
          <a:ext cx="603250" cy="434340"/>
        </a:xfrm>
        <a:prstGeom prst="rect">
          <a:avLst/>
        </a:prstGeom>
      </xdr:spPr>
    </xdr:pic>
    <xdr:clientData/>
  </xdr:twoCellAnchor>
  <xdr:twoCellAnchor editAs="oneCell">
    <xdr:from>
      <xdr:col>3</xdr:col>
      <xdr:colOff>431800</xdr:colOff>
      <xdr:row>13</xdr:row>
      <xdr:rowOff>202897</xdr:rowOff>
    </xdr:from>
    <xdr:to>
      <xdr:col>4</xdr:col>
      <xdr:colOff>720725</xdr:colOff>
      <xdr:row>17</xdr:row>
      <xdr:rowOff>85725</xdr:rowOff>
    </xdr:to>
    <xdr:pic>
      <xdr:nvPicPr>
        <xdr:cNvPr id="41" name="Picture 40">
          <a:extLst>
            <a:ext uri="{FF2B5EF4-FFF2-40B4-BE49-F238E27FC236}">
              <a16:creationId xmlns:a16="http://schemas.microsoft.com/office/drawing/2014/main" id="{216A1FA0-9699-CA93-48CA-B32C96C27445}"/>
            </a:ext>
          </a:extLst>
        </xdr:cNvPr>
        <xdr:cNvPicPr>
          <a:picLocks noChangeAspect="1"/>
        </xdr:cNvPicPr>
      </xdr:nvPicPr>
      <xdr:blipFill>
        <a:blip xmlns:r="http://schemas.openxmlformats.org/officeDocument/2006/relationships" r:embed="rId11"/>
        <a:stretch>
          <a:fillRect/>
        </a:stretch>
      </xdr:blipFill>
      <xdr:spPr>
        <a:xfrm>
          <a:off x="13520969275" y="2844497"/>
          <a:ext cx="1114425" cy="695628"/>
        </a:xfrm>
        <a:prstGeom prst="rect">
          <a:avLst/>
        </a:prstGeom>
      </xdr:spPr>
    </xdr:pic>
    <xdr:clientData/>
  </xdr:twoCellAnchor>
  <xdr:twoCellAnchor>
    <xdr:from>
      <xdr:col>2</xdr:col>
      <xdr:colOff>596900</xdr:colOff>
      <xdr:row>14</xdr:row>
      <xdr:rowOff>73025</xdr:rowOff>
    </xdr:from>
    <xdr:to>
      <xdr:col>3</xdr:col>
      <xdr:colOff>320675</xdr:colOff>
      <xdr:row>14</xdr:row>
      <xdr:rowOff>180975</xdr:rowOff>
    </xdr:to>
    <xdr:sp macro="" textlink="">
      <xdr:nvSpPr>
        <xdr:cNvPr id="58" name="Left Arrow 57">
          <a:extLst>
            <a:ext uri="{FF2B5EF4-FFF2-40B4-BE49-F238E27FC236}">
              <a16:creationId xmlns:a16="http://schemas.microsoft.com/office/drawing/2014/main" id="{5A1512EA-EADB-3D3B-BB26-6D1F9EC5206A}"/>
            </a:ext>
          </a:extLst>
        </xdr:cNvPr>
        <xdr:cNvSpPr/>
      </xdr:nvSpPr>
      <xdr:spPr>
        <a:xfrm>
          <a:off x="13522194825" y="2917825"/>
          <a:ext cx="549275" cy="107950"/>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136525</xdr:colOff>
      <xdr:row>26</xdr:row>
      <xdr:rowOff>22225</xdr:rowOff>
    </xdr:from>
    <xdr:to>
      <xdr:col>2</xdr:col>
      <xdr:colOff>355600</xdr:colOff>
      <xdr:row>29</xdr:row>
      <xdr:rowOff>50800</xdr:rowOff>
    </xdr:to>
    <xdr:sp macro="" textlink="">
      <xdr:nvSpPr>
        <xdr:cNvPr id="59" name="Down Arrow 58">
          <a:extLst>
            <a:ext uri="{FF2B5EF4-FFF2-40B4-BE49-F238E27FC236}">
              <a16:creationId xmlns:a16="http://schemas.microsoft.com/office/drawing/2014/main" id="{7FD37B20-5CAF-A447-5D3A-8510EBDA9AFF}"/>
            </a:ext>
          </a:extLst>
        </xdr:cNvPr>
        <xdr:cNvSpPr/>
      </xdr:nvSpPr>
      <xdr:spPr>
        <a:xfrm>
          <a:off x="13522985400" y="5305425"/>
          <a:ext cx="219075" cy="63817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190500</xdr:colOff>
      <xdr:row>26</xdr:row>
      <xdr:rowOff>25400</xdr:rowOff>
    </xdr:from>
    <xdr:to>
      <xdr:col>5</xdr:col>
      <xdr:colOff>409575</xdr:colOff>
      <xdr:row>29</xdr:row>
      <xdr:rowOff>53975</xdr:rowOff>
    </xdr:to>
    <xdr:sp macro="" textlink="">
      <xdr:nvSpPr>
        <xdr:cNvPr id="60" name="Down Arrow 59">
          <a:extLst>
            <a:ext uri="{FF2B5EF4-FFF2-40B4-BE49-F238E27FC236}">
              <a16:creationId xmlns:a16="http://schemas.microsoft.com/office/drawing/2014/main" id="{40D90B91-4C76-230A-435F-8585E9CE6200}"/>
            </a:ext>
          </a:extLst>
        </xdr:cNvPr>
        <xdr:cNvSpPr/>
      </xdr:nvSpPr>
      <xdr:spPr>
        <a:xfrm>
          <a:off x="13520454925" y="5308600"/>
          <a:ext cx="219075" cy="63817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6</xdr:col>
      <xdr:colOff>95250</xdr:colOff>
      <xdr:row>26</xdr:row>
      <xdr:rowOff>9860</xdr:rowOff>
    </xdr:from>
    <xdr:to>
      <xdr:col>7</xdr:col>
      <xdr:colOff>206375</xdr:colOff>
      <xdr:row>28</xdr:row>
      <xdr:rowOff>190500</xdr:rowOff>
    </xdr:to>
    <xdr:pic>
      <xdr:nvPicPr>
        <xdr:cNvPr id="61" name="Picture 60">
          <a:extLst>
            <a:ext uri="{FF2B5EF4-FFF2-40B4-BE49-F238E27FC236}">
              <a16:creationId xmlns:a16="http://schemas.microsoft.com/office/drawing/2014/main" id="{549F1C15-B418-4641-788F-913666B2650D}"/>
            </a:ext>
          </a:extLst>
        </xdr:cNvPr>
        <xdr:cNvPicPr>
          <a:picLocks noChangeAspect="1"/>
        </xdr:cNvPicPr>
      </xdr:nvPicPr>
      <xdr:blipFill>
        <a:blip xmlns:r="http://schemas.openxmlformats.org/officeDocument/2006/relationships" r:embed="rId12"/>
        <a:stretch>
          <a:fillRect/>
        </a:stretch>
      </xdr:blipFill>
      <xdr:spPr>
        <a:xfrm>
          <a:off x="13519007125" y="5305760"/>
          <a:ext cx="936625" cy="587040"/>
        </a:xfrm>
        <a:prstGeom prst="rect">
          <a:avLst/>
        </a:prstGeom>
      </xdr:spPr>
    </xdr:pic>
    <xdr:clientData/>
  </xdr:twoCellAnchor>
  <xdr:twoCellAnchor>
    <xdr:from>
      <xdr:col>1</xdr:col>
      <xdr:colOff>361950</xdr:colOff>
      <xdr:row>100</xdr:row>
      <xdr:rowOff>6350</xdr:rowOff>
    </xdr:from>
    <xdr:to>
      <xdr:col>2</xdr:col>
      <xdr:colOff>450850</xdr:colOff>
      <xdr:row>102</xdr:row>
      <xdr:rowOff>19050</xdr:rowOff>
    </xdr:to>
    <xdr:sp macro="" textlink="">
      <xdr:nvSpPr>
        <xdr:cNvPr id="62" name="Rectangle 61">
          <a:extLst>
            <a:ext uri="{FF2B5EF4-FFF2-40B4-BE49-F238E27FC236}">
              <a16:creationId xmlns:a16="http://schemas.microsoft.com/office/drawing/2014/main" id="{A5992FD3-6B07-32EE-EE8A-7023DA0A5445}"/>
            </a:ext>
          </a:extLst>
        </xdr:cNvPr>
        <xdr:cNvSpPr/>
      </xdr:nvSpPr>
      <xdr:spPr>
        <a:xfrm>
          <a:off x="13522890150" y="20466050"/>
          <a:ext cx="914400" cy="419100"/>
        </a:xfrm>
        <a:prstGeom prst="rect">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63500</xdr:colOff>
      <xdr:row>103</xdr:row>
      <xdr:rowOff>0</xdr:rowOff>
    </xdr:from>
    <xdr:to>
      <xdr:col>1</xdr:col>
      <xdr:colOff>730250</xdr:colOff>
      <xdr:row>104</xdr:row>
      <xdr:rowOff>57150</xdr:rowOff>
    </xdr:to>
    <xdr:sp macro="" textlink="">
      <xdr:nvSpPr>
        <xdr:cNvPr id="63" name="Rectangle 62">
          <a:extLst>
            <a:ext uri="{FF2B5EF4-FFF2-40B4-BE49-F238E27FC236}">
              <a16:creationId xmlns:a16="http://schemas.microsoft.com/office/drawing/2014/main" id="{780BE3B7-ED49-11F8-D92F-0A08D39AFC1D}"/>
            </a:ext>
          </a:extLst>
        </xdr:cNvPr>
        <xdr:cNvSpPr/>
      </xdr:nvSpPr>
      <xdr:spPr>
        <a:xfrm>
          <a:off x="13523436250" y="21069300"/>
          <a:ext cx="666750" cy="260350"/>
        </a:xfrm>
        <a:prstGeom prst="rect">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771526</xdr:colOff>
      <xdr:row>102</xdr:row>
      <xdr:rowOff>187324</xdr:rowOff>
    </xdr:from>
    <xdr:to>
      <xdr:col>3</xdr:col>
      <xdr:colOff>565151</xdr:colOff>
      <xdr:row>104</xdr:row>
      <xdr:rowOff>50799</xdr:rowOff>
    </xdr:to>
    <xdr:sp macro="" textlink="">
      <xdr:nvSpPr>
        <xdr:cNvPr id="64" name="Rectangle 63">
          <a:extLst>
            <a:ext uri="{FF2B5EF4-FFF2-40B4-BE49-F238E27FC236}">
              <a16:creationId xmlns:a16="http://schemas.microsoft.com/office/drawing/2014/main" id="{35F1DF28-8EA0-4FC6-822F-D217C2F436BC}"/>
            </a:ext>
          </a:extLst>
        </xdr:cNvPr>
        <xdr:cNvSpPr/>
      </xdr:nvSpPr>
      <xdr:spPr>
        <a:xfrm>
          <a:off x="13521950349" y="21053424"/>
          <a:ext cx="1444625" cy="269875"/>
        </a:xfrm>
        <a:prstGeom prst="rect">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0</xdr:colOff>
      <xdr:row>104</xdr:row>
      <xdr:rowOff>12700</xdr:rowOff>
    </xdr:from>
    <xdr:to>
      <xdr:col>1</xdr:col>
      <xdr:colOff>619126</xdr:colOff>
      <xdr:row>105</xdr:row>
      <xdr:rowOff>69850</xdr:rowOff>
    </xdr:to>
    <xdr:sp macro="" textlink="">
      <xdr:nvSpPr>
        <xdr:cNvPr id="65" name="Rectangle 64">
          <a:extLst>
            <a:ext uri="{FF2B5EF4-FFF2-40B4-BE49-F238E27FC236}">
              <a16:creationId xmlns:a16="http://schemas.microsoft.com/office/drawing/2014/main" id="{3806440A-C2F7-9061-2E93-C0A161E3280C}"/>
            </a:ext>
          </a:extLst>
        </xdr:cNvPr>
        <xdr:cNvSpPr/>
      </xdr:nvSpPr>
      <xdr:spPr>
        <a:xfrm>
          <a:off x="13523547374" y="21285200"/>
          <a:ext cx="1444626" cy="260350"/>
        </a:xfrm>
        <a:prstGeom prst="rect">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406400</xdr:colOff>
      <xdr:row>107</xdr:row>
      <xdr:rowOff>190500</xdr:rowOff>
    </xdr:from>
    <xdr:to>
      <xdr:col>2</xdr:col>
      <xdr:colOff>352426</xdr:colOff>
      <xdr:row>109</xdr:row>
      <xdr:rowOff>31750</xdr:rowOff>
    </xdr:to>
    <xdr:sp macro="" textlink="">
      <xdr:nvSpPr>
        <xdr:cNvPr id="66" name="Rectangle 65">
          <a:extLst>
            <a:ext uri="{FF2B5EF4-FFF2-40B4-BE49-F238E27FC236}">
              <a16:creationId xmlns:a16="http://schemas.microsoft.com/office/drawing/2014/main" id="{CCCE4B41-0E1A-C83F-7F11-53462CC7D4DB}"/>
            </a:ext>
          </a:extLst>
        </xdr:cNvPr>
        <xdr:cNvSpPr/>
      </xdr:nvSpPr>
      <xdr:spPr>
        <a:xfrm>
          <a:off x="13522988574" y="22072600"/>
          <a:ext cx="1597026" cy="247650"/>
        </a:xfrm>
        <a:prstGeom prst="rect">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7</xdr:col>
      <xdr:colOff>712271</xdr:colOff>
      <xdr:row>377</xdr:row>
      <xdr:rowOff>203038</xdr:rowOff>
    </xdr:from>
    <xdr:to>
      <xdr:col>9</xdr:col>
      <xdr:colOff>807028</xdr:colOff>
      <xdr:row>385</xdr:row>
      <xdr:rowOff>192424</xdr:rowOff>
    </xdr:to>
    <xdr:pic>
      <xdr:nvPicPr>
        <xdr:cNvPr id="67" name="Picture 66">
          <a:extLst>
            <a:ext uri="{FF2B5EF4-FFF2-40B4-BE49-F238E27FC236}">
              <a16:creationId xmlns:a16="http://schemas.microsoft.com/office/drawing/2014/main" id="{6B701239-1284-D293-EE73-D8BB9ABC9B1D}"/>
            </a:ext>
          </a:extLst>
        </xdr:cNvPr>
        <xdr:cNvPicPr>
          <a:picLocks noChangeAspect="1"/>
        </xdr:cNvPicPr>
      </xdr:nvPicPr>
      <xdr:blipFill>
        <a:blip xmlns:r="http://schemas.openxmlformats.org/officeDocument/2006/relationships" r:embed="rId13"/>
        <a:stretch>
          <a:fillRect/>
        </a:stretch>
      </xdr:blipFill>
      <xdr:spPr>
        <a:xfrm>
          <a:off x="13548264942" y="77395947"/>
          <a:ext cx="1749605" cy="1709659"/>
        </a:xfrm>
        <a:prstGeom prst="rect">
          <a:avLst/>
        </a:prstGeom>
      </xdr:spPr>
    </xdr:pic>
    <xdr:clientData/>
  </xdr:twoCellAnchor>
  <xdr:twoCellAnchor editAs="oneCell">
    <xdr:from>
      <xdr:col>8</xdr:col>
      <xdr:colOff>58105</xdr:colOff>
      <xdr:row>453</xdr:row>
      <xdr:rowOff>95250</xdr:rowOff>
    </xdr:from>
    <xdr:to>
      <xdr:col>9</xdr:col>
      <xdr:colOff>28575</xdr:colOff>
      <xdr:row>456</xdr:row>
      <xdr:rowOff>161925</xdr:rowOff>
    </xdr:to>
    <xdr:pic>
      <xdr:nvPicPr>
        <xdr:cNvPr id="68" name="Picture 67">
          <a:extLst>
            <a:ext uri="{FF2B5EF4-FFF2-40B4-BE49-F238E27FC236}">
              <a16:creationId xmlns:a16="http://schemas.microsoft.com/office/drawing/2014/main" id="{C5D41043-A0B8-8D2C-38D9-AA861A142DE5}"/>
            </a:ext>
          </a:extLst>
        </xdr:cNvPr>
        <xdr:cNvPicPr>
          <a:picLocks noChangeAspect="1"/>
        </xdr:cNvPicPr>
      </xdr:nvPicPr>
      <xdr:blipFill>
        <a:blip xmlns:r="http://schemas.openxmlformats.org/officeDocument/2006/relationships" r:embed="rId14"/>
        <a:stretch>
          <a:fillRect/>
        </a:stretch>
      </xdr:blipFill>
      <xdr:spPr>
        <a:xfrm>
          <a:off x="13517533925" y="92551250"/>
          <a:ext cx="795970" cy="676275"/>
        </a:xfrm>
        <a:prstGeom prst="rect">
          <a:avLst/>
        </a:prstGeom>
      </xdr:spPr>
    </xdr:pic>
    <xdr:clientData/>
  </xdr:twoCellAnchor>
  <xdr:twoCellAnchor editAs="oneCell">
    <xdr:from>
      <xdr:col>12</xdr:col>
      <xdr:colOff>775091</xdr:colOff>
      <xdr:row>461</xdr:row>
      <xdr:rowOff>85605</xdr:rowOff>
    </xdr:from>
    <xdr:to>
      <xdr:col>13</xdr:col>
      <xdr:colOff>745562</xdr:colOff>
      <xdr:row>464</xdr:row>
      <xdr:rowOff>152280</xdr:rowOff>
    </xdr:to>
    <xdr:pic>
      <xdr:nvPicPr>
        <xdr:cNvPr id="69" name="Picture 68">
          <a:extLst>
            <a:ext uri="{FF2B5EF4-FFF2-40B4-BE49-F238E27FC236}">
              <a16:creationId xmlns:a16="http://schemas.microsoft.com/office/drawing/2014/main" id="{A707B3F1-4ED2-DAE1-1662-88F822A05132}"/>
            </a:ext>
          </a:extLst>
        </xdr:cNvPr>
        <xdr:cNvPicPr>
          <a:picLocks noChangeAspect="1"/>
        </xdr:cNvPicPr>
      </xdr:nvPicPr>
      <xdr:blipFill>
        <a:blip xmlns:r="http://schemas.openxmlformats.org/officeDocument/2006/relationships" r:embed="rId14"/>
        <a:stretch>
          <a:fillRect/>
        </a:stretch>
      </xdr:blipFill>
      <xdr:spPr>
        <a:xfrm>
          <a:off x="13526673907" y="93875909"/>
          <a:ext cx="796774" cy="674346"/>
        </a:xfrm>
        <a:prstGeom prst="rect">
          <a:avLst/>
        </a:prstGeom>
      </xdr:spPr>
    </xdr:pic>
    <xdr:clientData/>
  </xdr:twoCellAnchor>
  <xdr:twoCellAnchor editAs="oneCell">
    <xdr:from>
      <xdr:col>0</xdr:col>
      <xdr:colOff>60477</xdr:colOff>
      <xdr:row>510</xdr:row>
      <xdr:rowOff>54110</xdr:rowOff>
    </xdr:from>
    <xdr:to>
      <xdr:col>1</xdr:col>
      <xdr:colOff>486992</xdr:colOff>
      <xdr:row>514</xdr:row>
      <xdr:rowOff>133311</xdr:rowOff>
    </xdr:to>
    <xdr:pic>
      <xdr:nvPicPr>
        <xdr:cNvPr id="70" name="Picture 69">
          <a:extLst>
            <a:ext uri="{FF2B5EF4-FFF2-40B4-BE49-F238E27FC236}">
              <a16:creationId xmlns:a16="http://schemas.microsoft.com/office/drawing/2014/main" id="{079AA999-7839-DF49-184A-4D1A9AFC4AEC}"/>
            </a:ext>
          </a:extLst>
        </xdr:cNvPr>
        <xdr:cNvPicPr>
          <a:picLocks noChangeAspect="1"/>
        </xdr:cNvPicPr>
      </xdr:nvPicPr>
      <xdr:blipFill>
        <a:blip xmlns:r="http://schemas.openxmlformats.org/officeDocument/2006/relationships" r:embed="rId15"/>
        <a:stretch>
          <a:fillRect/>
        </a:stretch>
      </xdr:blipFill>
      <xdr:spPr>
        <a:xfrm>
          <a:off x="13505428271" y="104353258"/>
          <a:ext cx="1250901" cy="894038"/>
        </a:xfrm>
        <a:prstGeom prst="rect">
          <a:avLst/>
        </a:prstGeom>
      </xdr:spPr>
    </xdr:pic>
    <xdr:clientData/>
  </xdr:twoCellAnchor>
  <xdr:twoCellAnchor>
    <xdr:from>
      <xdr:col>4</xdr:col>
      <xdr:colOff>627350</xdr:colOff>
      <xdr:row>525</xdr:row>
      <xdr:rowOff>0</xdr:rowOff>
    </xdr:from>
    <xdr:to>
      <xdr:col>5</xdr:col>
      <xdr:colOff>126235</xdr:colOff>
      <xdr:row>526</xdr:row>
      <xdr:rowOff>76506</xdr:rowOff>
    </xdr:to>
    <xdr:sp macro="" textlink="">
      <xdr:nvSpPr>
        <xdr:cNvPr id="71" name="Left Arrow 70">
          <a:extLst>
            <a:ext uri="{FF2B5EF4-FFF2-40B4-BE49-F238E27FC236}">
              <a16:creationId xmlns:a16="http://schemas.microsoft.com/office/drawing/2014/main" id="{A3D0A7AB-25D9-CFFE-C3F8-D6EBA9370DB9}"/>
            </a:ext>
          </a:extLst>
        </xdr:cNvPr>
        <xdr:cNvSpPr/>
      </xdr:nvSpPr>
      <xdr:spPr>
        <a:xfrm>
          <a:off x="13533269187" y="106821536"/>
          <a:ext cx="325150" cy="279247"/>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4</xdr:col>
      <xdr:colOff>183615</xdr:colOff>
      <xdr:row>529</xdr:row>
      <xdr:rowOff>26701</xdr:rowOff>
    </xdr:from>
    <xdr:ext cx="3340678" cy="426463"/>
    <mc:AlternateContent xmlns:mc="http://schemas.openxmlformats.org/markup-compatibility/2006" xmlns:a14="http://schemas.microsoft.com/office/drawing/2010/main">
      <mc:Choice Requires="a14">
        <xdr:sp macro="" textlink="">
          <xdr:nvSpPr>
            <xdr:cNvPr id="72" name="TextBox 71">
              <a:extLst>
                <a:ext uri="{FF2B5EF4-FFF2-40B4-BE49-F238E27FC236}">
                  <a16:creationId xmlns:a16="http://schemas.microsoft.com/office/drawing/2014/main" id="{9051D257-3D72-C2C2-E595-A490A3C8E457}"/>
                </a:ext>
              </a:extLst>
            </xdr:cNvPr>
            <xdr:cNvSpPr txBox="1"/>
          </xdr:nvSpPr>
          <xdr:spPr>
            <a:xfrm>
              <a:off x="13530697394" y="107659201"/>
              <a:ext cx="3340678" cy="4264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d>
                      <m:dPr>
                        <m:ctrlPr>
                          <a:rPr lang="en-US" sz="1100" b="0" i="1">
                            <a:latin typeface="Cambria Math" panose="02040503050406030204" pitchFamily="18" charset="0"/>
                          </a:rPr>
                        </m:ctrlPr>
                      </m:dPr>
                      <m:e>
                        <m:r>
                          <a:rPr lang="en-US" sz="1100" b="0" i="1">
                            <a:latin typeface="Cambria Math" panose="02040503050406030204" pitchFamily="18" charset="0"/>
                          </a:rPr>
                          <m:t>2020</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700,000−100,000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7∗</m:t>
                        </m:r>
                        <m:f>
                          <m:fPr>
                            <m:ctrlPr>
                              <a:rPr lang="en-US" sz="1100" b="0" i="1">
                                <a:latin typeface="Cambria Math" panose="02040503050406030204" pitchFamily="18" charset="0"/>
                              </a:rPr>
                            </m:ctrlPr>
                          </m:fPr>
                          <m:num>
                            <m:r>
                              <a:rPr lang="en-US" sz="1100" b="0" i="1">
                                <a:latin typeface="Cambria Math" panose="02040503050406030204" pitchFamily="18" charset="0"/>
                              </a:rPr>
                              <m:t>7</m:t>
                            </m:r>
                          </m:num>
                          <m:den>
                            <m:r>
                              <a:rPr lang="en-US" sz="1100" b="0" i="1">
                                <a:latin typeface="Cambria Math" panose="02040503050406030204" pitchFamily="18" charset="0"/>
                              </a:rPr>
                              <m:t>12</m:t>
                            </m:r>
                          </m:den>
                        </m:f>
                      </m:num>
                      <m:den>
                        <m:r>
                          <a:rPr lang="en-US" sz="1100" b="0" i="1">
                            <a:latin typeface="Cambria Math" panose="02040503050406030204" pitchFamily="18" charset="0"/>
                          </a:rPr>
                          <m:t>28</m:t>
                        </m:r>
                      </m:den>
                    </m:f>
                    <m:r>
                      <a:rPr lang="en-US" sz="1100" b="0" i="0">
                        <a:latin typeface="Cambria Math" panose="02040503050406030204" pitchFamily="18" charset="0"/>
                      </a:rPr>
                      <m:t>=</m:t>
                    </m:r>
                  </m:oMath>
                </m:oMathPara>
              </a14:m>
              <a:endParaRPr lang="en-US" sz="1100"/>
            </a:p>
          </xdr:txBody>
        </xdr:sp>
      </mc:Choice>
      <mc:Fallback xmlns="">
        <xdr:sp macro="" textlink="">
          <xdr:nvSpPr>
            <xdr:cNvPr id="72" name="TextBox 71">
              <a:extLst>
                <a:ext uri="{FF2B5EF4-FFF2-40B4-BE49-F238E27FC236}">
                  <a16:creationId xmlns:a16="http://schemas.microsoft.com/office/drawing/2014/main" id="{9051D257-3D72-C2C2-E595-A490A3C8E457}"/>
                </a:ext>
              </a:extLst>
            </xdr:cNvPr>
            <xdr:cNvSpPr txBox="1"/>
          </xdr:nvSpPr>
          <xdr:spPr>
            <a:xfrm>
              <a:off x="13530697394" y="107659201"/>
              <a:ext cx="3340678" cy="4264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𝐷(2020)=(700,000−100,000)∗(7∗7/12)/28=</a:t>
              </a:r>
              <a:endParaRPr lang="en-US" sz="1100"/>
            </a:p>
          </xdr:txBody>
        </xdr:sp>
      </mc:Fallback>
    </mc:AlternateContent>
    <xdr:clientData/>
  </xdr:oneCellAnchor>
  <xdr:oneCellAnchor>
    <xdr:from>
      <xdr:col>3</xdr:col>
      <xdr:colOff>768885</xdr:colOff>
      <xdr:row>531</xdr:row>
      <xdr:rowOff>191189</xdr:rowOff>
    </xdr:from>
    <xdr:ext cx="3340678" cy="431015"/>
    <mc:AlternateContent xmlns:mc="http://schemas.openxmlformats.org/markup-compatibility/2006" xmlns:a14="http://schemas.microsoft.com/office/drawing/2010/main">
      <mc:Choice Requires="a14">
        <xdr:sp macro="" textlink="">
          <xdr:nvSpPr>
            <xdr:cNvPr id="73" name="TextBox 72">
              <a:extLst>
                <a:ext uri="{FF2B5EF4-FFF2-40B4-BE49-F238E27FC236}">
                  <a16:creationId xmlns:a16="http://schemas.microsoft.com/office/drawing/2014/main" id="{0D54176E-D6DA-8DF0-1232-4D2696FB23A3}"/>
                </a:ext>
              </a:extLst>
            </xdr:cNvPr>
            <xdr:cNvSpPr txBox="1"/>
          </xdr:nvSpPr>
          <xdr:spPr>
            <a:xfrm>
              <a:off x="13530938389" y="108229171"/>
              <a:ext cx="3340678" cy="4310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d>
                      <m:dPr>
                        <m:ctrlPr>
                          <a:rPr lang="en-US" sz="1100" b="0" i="1">
                            <a:latin typeface="Cambria Math" panose="02040503050406030204" pitchFamily="18" charset="0"/>
                          </a:rPr>
                        </m:ctrlPr>
                      </m:dPr>
                      <m:e>
                        <m:r>
                          <a:rPr lang="en-US" sz="1100" b="0" i="1">
                            <a:latin typeface="Cambria Math" panose="02040503050406030204" pitchFamily="18" charset="0"/>
                          </a:rPr>
                          <m:t>2021</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700,000−100,000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7∗</m:t>
                        </m:r>
                        <m:f>
                          <m:fPr>
                            <m:ctrlPr>
                              <a:rPr lang="en-US" sz="1100" b="0" i="1">
                                <a:latin typeface="Cambria Math" panose="02040503050406030204" pitchFamily="18" charset="0"/>
                              </a:rPr>
                            </m:ctrlPr>
                          </m:fPr>
                          <m:num>
                            <m:r>
                              <a:rPr lang="en-US" sz="1100" b="0" i="1">
                                <a:latin typeface="Cambria Math" panose="02040503050406030204" pitchFamily="18" charset="0"/>
                              </a:rPr>
                              <m:t>5</m:t>
                            </m:r>
                          </m:num>
                          <m:den>
                            <m:r>
                              <a:rPr lang="en-US" sz="1100" b="0" i="1">
                                <a:latin typeface="Cambria Math" panose="02040503050406030204" pitchFamily="18" charset="0"/>
                              </a:rPr>
                              <m:t>12</m:t>
                            </m:r>
                          </m:den>
                        </m:f>
                        <m:r>
                          <a:rPr lang="en-US" sz="1100" b="0" i="1">
                            <a:latin typeface="Cambria Math" panose="02040503050406030204" pitchFamily="18" charset="0"/>
                          </a:rPr>
                          <m:t>+6∗</m:t>
                        </m:r>
                        <m:f>
                          <m:fPr>
                            <m:ctrlPr>
                              <a:rPr lang="en-US" sz="1100" b="0" i="1">
                                <a:latin typeface="Cambria Math" panose="02040503050406030204" pitchFamily="18" charset="0"/>
                              </a:rPr>
                            </m:ctrlPr>
                          </m:fPr>
                          <m:num>
                            <m:r>
                              <a:rPr lang="en-US" sz="1100" b="0" i="1">
                                <a:latin typeface="Cambria Math" panose="02040503050406030204" pitchFamily="18" charset="0"/>
                              </a:rPr>
                              <m:t>7</m:t>
                            </m:r>
                          </m:num>
                          <m:den>
                            <m:r>
                              <a:rPr lang="en-US" sz="1100" b="0" i="1">
                                <a:latin typeface="Cambria Math" panose="02040503050406030204" pitchFamily="18" charset="0"/>
                              </a:rPr>
                              <m:t>12</m:t>
                            </m:r>
                          </m:den>
                        </m:f>
                      </m:num>
                      <m:den>
                        <m:r>
                          <a:rPr lang="en-US" sz="1100" b="0" i="1">
                            <a:latin typeface="Cambria Math" panose="02040503050406030204" pitchFamily="18" charset="0"/>
                          </a:rPr>
                          <m:t>28</m:t>
                        </m:r>
                      </m:den>
                    </m:f>
                    <m:r>
                      <a:rPr lang="en-US" sz="1100" b="0" i="0">
                        <a:latin typeface="Cambria Math" panose="02040503050406030204" pitchFamily="18" charset="0"/>
                      </a:rPr>
                      <m:t>=</m:t>
                    </m:r>
                  </m:oMath>
                </m:oMathPara>
              </a14:m>
              <a:endParaRPr lang="en-US" sz="1100"/>
            </a:p>
          </xdr:txBody>
        </xdr:sp>
      </mc:Choice>
      <mc:Fallback xmlns="">
        <xdr:sp macro="" textlink="">
          <xdr:nvSpPr>
            <xdr:cNvPr id="73" name="TextBox 72">
              <a:extLst>
                <a:ext uri="{FF2B5EF4-FFF2-40B4-BE49-F238E27FC236}">
                  <a16:creationId xmlns:a16="http://schemas.microsoft.com/office/drawing/2014/main" id="{0D54176E-D6DA-8DF0-1232-4D2696FB23A3}"/>
                </a:ext>
              </a:extLst>
            </xdr:cNvPr>
            <xdr:cNvSpPr txBox="1"/>
          </xdr:nvSpPr>
          <xdr:spPr>
            <a:xfrm>
              <a:off x="13530938389" y="108229171"/>
              <a:ext cx="3340678" cy="4310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𝐷(2021)=(700,000−100,000)∗(7∗5/12+6∗7/12)/28=</a:t>
              </a:r>
              <a:endParaRPr lang="en-US" sz="1100"/>
            </a:p>
          </xdr:txBody>
        </xdr:sp>
      </mc:Fallback>
    </mc:AlternateContent>
    <xdr:clientData/>
  </xdr:oneCellAnchor>
  <xdr:oneCellAnchor>
    <xdr:from>
      <xdr:col>3</xdr:col>
      <xdr:colOff>745933</xdr:colOff>
      <xdr:row>534</xdr:row>
      <xdr:rowOff>133810</xdr:rowOff>
    </xdr:from>
    <xdr:ext cx="3340678" cy="431015"/>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A388502F-D79D-3671-8E59-BFC3433A1DAC}"/>
                </a:ext>
              </a:extLst>
            </xdr:cNvPr>
            <xdr:cNvSpPr txBox="1"/>
          </xdr:nvSpPr>
          <xdr:spPr>
            <a:xfrm>
              <a:off x="13530961341" y="108780015"/>
              <a:ext cx="3340678" cy="4310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d>
                      <m:dPr>
                        <m:ctrlPr>
                          <a:rPr lang="en-US" sz="1100" b="0" i="1">
                            <a:latin typeface="Cambria Math" panose="02040503050406030204" pitchFamily="18" charset="0"/>
                          </a:rPr>
                        </m:ctrlPr>
                      </m:dPr>
                      <m:e>
                        <m:r>
                          <a:rPr lang="en-US" sz="1100" b="0" i="1">
                            <a:latin typeface="Cambria Math" panose="02040503050406030204" pitchFamily="18" charset="0"/>
                          </a:rPr>
                          <m:t>2022</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700,000−100,000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6∗</m:t>
                        </m:r>
                        <m:f>
                          <m:fPr>
                            <m:ctrlPr>
                              <a:rPr lang="en-US" sz="1100" b="0" i="1">
                                <a:latin typeface="Cambria Math" panose="02040503050406030204" pitchFamily="18" charset="0"/>
                              </a:rPr>
                            </m:ctrlPr>
                          </m:fPr>
                          <m:num>
                            <m:r>
                              <a:rPr lang="en-US" sz="1100" b="0" i="1">
                                <a:latin typeface="Cambria Math" panose="02040503050406030204" pitchFamily="18" charset="0"/>
                              </a:rPr>
                              <m:t>5</m:t>
                            </m:r>
                          </m:num>
                          <m:den>
                            <m:r>
                              <a:rPr lang="en-US" sz="1100" b="0" i="1">
                                <a:latin typeface="Cambria Math" panose="02040503050406030204" pitchFamily="18" charset="0"/>
                              </a:rPr>
                              <m:t>12</m:t>
                            </m:r>
                          </m:den>
                        </m:f>
                        <m:r>
                          <a:rPr lang="en-US" sz="1100" b="0" i="1">
                            <a:latin typeface="Cambria Math" panose="02040503050406030204" pitchFamily="18" charset="0"/>
                          </a:rPr>
                          <m:t>+5∗</m:t>
                        </m:r>
                        <m:f>
                          <m:fPr>
                            <m:ctrlPr>
                              <a:rPr lang="en-US" sz="1100" b="0" i="1">
                                <a:latin typeface="Cambria Math" panose="02040503050406030204" pitchFamily="18" charset="0"/>
                              </a:rPr>
                            </m:ctrlPr>
                          </m:fPr>
                          <m:num>
                            <m:r>
                              <a:rPr lang="en-US" sz="1100" b="0" i="1">
                                <a:latin typeface="Cambria Math" panose="02040503050406030204" pitchFamily="18" charset="0"/>
                              </a:rPr>
                              <m:t>7</m:t>
                            </m:r>
                          </m:num>
                          <m:den>
                            <m:r>
                              <a:rPr lang="en-US" sz="1100" b="0" i="1">
                                <a:latin typeface="Cambria Math" panose="02040503050406030204" pitchFamily="18" charset="0"/>
                              </a:rPr>
                              <m:t>12</m:t>
                            </m:r>
                          </m:den>
                        </m:f>
                      </m:num>
                      <m:den>
                        <m:r>
                          <a:rPr lang="en-US" sz="1100" b="0" i="1">
                            <a:latin typeface="Cambria Math" panose="02040503050406030204" pitchFamily="18" charset="0"/>
                          </a:rPr>
                          <m:t>28</m:t>
                        </m:r>
                      </m:den>
                    </m:f>
                    <m:r>
                      <a:rPr lang="en-US" sz="1100" b="0" i="0">
                        <a:latin typeface="Cambria Math" panose="02040503050406030204" pitchFamily="18" charset="0"/>
                      </a:rPr>
                      <m:t>=</m:t>
                    </m:r>
                  </m:oMath>
                </m:oMathPara>
              </a14:m>
              <a:endParaRPr lang="en-US" sz="1100"/>
            </a:p>
          </xdr:txBody>
        </xdr:sp>
      </mc:Choice>
      <mc:Fallback xmlns="">
        <xdr:sp macro="" textlink="">
          <xdr:nvSpPr>
            <xdr:cNvPr id="74" name="TextBox 73">
              <a:extLst>
                <a:ext uri="{FF2B5EF4-FFF2-40B4-BE49-F238E27FC236}">
                  <a16:creationId xmlns:a16="http://schemas.microsoft.com/office/drawing/2014/main" id="{A388502F-D79D-3671-8E59-BFC3433A1DAC}"/>
                </a:ext>
              </a:extLst>
            </xdr:cNvPr>
            <xdr:cNvSpPr txBox="1"/>
          </xdr:nvSpPr>
          <xdr:spPr>
            <a:xfrm>
              <a:off x="13530961341" y="108780015"/>
              <a:ext cx="3340678" cy="4310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𝐷(2022)=(700,000−100,000)∗(6∗5/12+5∗7/12)/28=</a:t>
              </a:r>
              <a:endParaRPr lang="en-US" sz="1100"/>
            </a:p>
          </xdr:txBody>
        </xdr:sp>
      </mc:Fallback>
    </mc:AlternateContent>
    <xdr:clientData/>
  </xdr:oneCellAnchor>
  <xdr:oneCellAnchor>
    <xdr:from>
      <xdr:col>3</xdr:col>
      <xdr:colOff>757409</xdr:colOff>
      <xdr:row>537</xdr:row>
      <xdr:rowOff>91732</xdr:rowOff>
    </xdr:from>
    <xdr:ext cx="3340678" cy="431015"/>
    <mc:AlternateContent xmlns:mc="http://schemas.openxmlformats.org/markup-compatibility/2006" xmlns:a14="http://schemas.microsoft.com/office/drawing/2010/main">
      <mc:Choice Requires="a14">
        <xdr:sp macro="" textlink="">
          <xdr:nvSpPr>
            <xdr:cNvPr id="75" name="TextBox 74">
              <a:extLst>
                <a:ext uri="{FF2B5EF4-FFF2-40B4-BE49-F238E27FC236}">
                  <a16:creationId xmlns:a16="http://schemas.microsoft.com/office/drawing/2014/main" id="{FB8BAE98-D8FA-DF56-AD0D-04C7E0B17A18}"/>
                </a:ext>
              </a:extLst>
            </xdr:cNvPr>
            <xdr:cNvSpPr txBox="1"/>
          </xdr:nvSpPr>
          <xdr:spPr>
            <a:xfrm>
              <a:off x="13530949865" y="109346160"/>
              <a:ext cx="3340678" cy="4310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d>
                      <m:dPr>
                        <m:ctrlPr>
                          <a:rPr lang="en-US" sz="1100" b="0" i="1">
                            <a:latin typeface="Cambria Math" panose="02040503050406030204" pitchFamily="18" charset="0"/>
                          </a:rPr>
                        </m:ctrlPr>
                      </m:dPr>
                      <m:e>
                        <m:r>
                          <a:rPr lang="en-US" sz="1100" b="0" i="1">
                            <a:latin typeface="Cambria Math" panose="02040503050406030204" pitchFamily="18" charset="0"/>
                          </a:rPr>
                          <m:t>2023</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700,000−100,000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5∗</m:t>
                        </m:r>
                        <m:f>
                          <m:fPr>
                            <m:ctrlPr>
                              <a:rPr lang="en-US" sz="1100" b="0" i="1">
                                <a:latin typeface="Cambria Math" panose="02040503050406030204" pitchFamily="18" charset="0"/>
                              </a:rPr>
                            </m:ctrlPr>
                          </m:fPr>
                          <m:num>
                            <m:r>
                              <a:rPr lang="en-US" sz="1100" b="0" i="1">
                                <a:latin typeface="Cambria Math" panose="02040503050406030204" pitchFamily="18" charset="0"/>
                              </a:rPr>
                              <m:t>5</m:t>
                            </m:r>
                          </m:num>
                          <m:den>
                            <m:r>
                              <a:rPr lang="en-US" sz="1100" b="0" i="1">
                                <a:latin typeface="Cambria Math" panose="02040503050406030204" pitchFamily="18" charset="0"/>
                              </a:rPr>
                              <m:t>12</m:t>
                            </m:r>
                          </m:den>
                        </m:f>
                        <m:r>
                          <a:rPr lang="en-US" sz="1100" b="0" i="1">
                            <a:latin typeface="Cambria Math" panose="02040503050406030204" pitchFamily="18" charset="0"/>
                          </a:rPr>
                          <m:t>+4∗</m:t>
                        </m:r>
                        <m:f>
                          <m:fPr>
                            <m:ctrlPr>
                              <a:rPr lang="en-US" sz="1100" b="0" i="1">
                                <a:latin typeface="Cambria Math" panose="02040503050406030204" pitchFamily="18" charset="0"/>
                              </a:rPr>
                            </m:ctrlPr>
                          </m:fPr>
                          <m:num>
                            <m:r>
                              <a:rPr lang="en-US" sz="1100" b="0" i="1">
                                <a:latin typeface="Cambria Math" panose="02040503050406030204" pitchFamily="18" charset="0"/>
                              </a:rPr>
                              <m:t>7</m:t>
                            </m:r>
                          </m:num>
                          <m:den>
                            <m:r>
                              <a:rPr lang="en-US" sz="1100" b="0" i="1">
                                <a:latin typeface="Cambria Math" panose="02040503050406030204" pitchFamily="18" charset="0"/>
                              </a:rPr>
                              <m:t>12</m:t>
                            </m:r>
                          </m:den>
                        </m:f>
                      </m:num>
                      <m:den>
                        <m:r>
                          <a:rPr lang="en-US" sz="1100" b="0" i="1">
                            <a:latin typeface="Cambria Math" panose="02040503050406030204" pitchFamily="18" charset="0"/>
                          </a:rPr>
                          <m:t>28</m:t>
                        </m:r>
                      </m:den>
                    </m:f>
                    <m:r>
                      <a:rPr lang="en-US" sz="1100" b="0" i="0">
                        <a:latin typeface="Cambria Math" panose="02040503050406030204" pitchFamily="18" charset="0"/>
                      </a:rPr>
                      <m:t>=</m:t>
                    </m:r>
                  </m:oMath>
                </m:oMathPara>
              </a14:m>
              <a:endParaRPr lang="en-US" sz="1100"/>
            </a:p>
          </xdr:txBody>
        </xdr:sp>
      </mc:Choice>
      <mc:Fallback xmlns="">
        <xdr:sp macro="" textlink="">
          <xdr:nvSpPr>
            <xdr:cNvPr id="75" name="TextBox 74">
              <a:extLst>
                <a:ext uri="{FF2B5EF4-FFF2-40B4-BE49-F238E27FC236}">
                  <a16:creationId xmlns:a16="http://schemas.microsoft.com/office/drawing/2014/main" id="{FB8BAE98-D8FA-DF56-AD0D-04C7E0B17A18}"/>
                </a:ext>
              </a:extLst>
            </xdr:cNvPr>
            <xdr:cNvSpPr txBox="1"/>
          </xdr:nvSpPr>
          <xdr:spPr>
            <a:xfrm>
              <a:off x="13530949865" y="109346160"/>
              <a:ext cx="3340678" cy="4310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𝐷(2023)=(700,000−100,000)∗(5∗5/12+4∗7/12)/28=</a:t>
              </a:r>
              <a:endParaRPr lang="en-US" sz="1100"/>
            </a:p>
          </xdr:txBody>
        </xdr:sp>
      </mc:Fallback>
    </mc:AlternateContent>
    <xdr:clientData/>
  </xdr:oneCellAnchor>
</xdr:wsDr>
</file>

<file path=xl/persons/person.xml><?xml version="1.0" encoding="utf-8"?>
<personList xmlns="http://schemas.microsoft.com/office/spreadsheetml/2018/threadedcomments" xmlns:x="http://schemas.openxmlformats.org/spreadsheetml/2006/main">
  <person displayName="Shay Tsaban" id="{E5089F03-0C50-DB41-BBB7-60C32976FD3C}" userId="S::shayt@yvc.ac.il::41360316-5da5-4cfb-8772-7f9fa7e0610b" providerId="AD"/>
</personList>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C123" dT="2024-03-04T07:32:08.47" personId="{E5089F03-0C50-DB41-BBB7-60C32976FD3C}" id="{42E83108-99E1-0942-BDB0-A0EDC803B34C}">
    <text>עלות היסטורית - סך הסכום ששולם בעד המכונות 900 כולל הובלה 100 סהכ 1,000</text>
  </threadedComment>
  <threadedComment ref="C124" dT="2024-03-04T07:41:55.50" personId="{E5089F03-0C50-DB41-BBB7-60C32976FD3C}" id="{04E53DFE-0FAF-5648-85D4-EFDD57943A99}">
    <text xml:space="preserve">הפריט עלה 1,000, מופחת על פני 10 שנים ללא גרט - חילקנו ב-10, וכפלנו בזמן שחלף מזמינות לשימוש 31.3.2019 עד 1.1.2020 כלומר 9 חודשים </text>
  </threadedComment>
  <threadedComment ref="C386" dT="2024-03-04T08:34:37.54" personId="{E5089F03-0C50-DB41-BBB7-60C32976FD3C}" id="{C4465232-A142-1D4D-8F8C-57979B275B74}">
    <text>מהיתרה המקורית 50 בתוספת 22 מכירה באשראי שלא נרשמה</text>
  </threadedComment>
  <threadedComment ref="F387" dT="2024-03-04T08:35:30.63" personId="{E5089F03-0C50-DB41-BBB7-60C32976FD3C}" id="{976E9746-2CAD-B846-9095-D68A9468734A}">
    <text>מכירות מקוריות 400 בתוספת מכירה נוספת - אירוע ג - 22</text>
  </threadedComment>
</ThreadedComments>
</file>

<file path=xl/worksheets/_rels/sheet10.xml.rels><?xml version="1.0" encoding="UTF-8" standalone="yes"?>
<Relationships xmlns="http://schemas.openxmlformats.org/package/2006/relationships"><Relationship Id="rId1" Type="http://schemas.openxmlformats.org/officeDocument/2006/relationships/hyperlink" Target="https://youtu.be/yBkNCQvDNCw" TargetMode="Externa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hyperlink" Target="https://youtu.be/WBmwt2wrMco" TargetMode="Externa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8.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11.xml"/><Relationship Id="rId4" Type="http://schemas.microsoft.com/office/2017/10/relationships/threadedComment" Target="../threadedComments/threadedComment1.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hyperlink" Target="https://youtu.be/yBkNCQvDNCw"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32EFFC-ACDB-8844-AEF9-9DCF7DB808B0}">
  <dimension ref="A1:H33"/>
  <sheetViews>
    <sheetView rightToLeft="1" zoomScale="287" zoomScaleNormal="200" zoomScaleSheetLayoutView="100" workbookViewId="0">
      <selection activeCell="C21" sqref="C21"/>
    </sheetView>
  </sheetViews>
  <sheetFormatPr baseColWidth="10" defaultRowHeight="16" x14ac:dyDescent="0.2"/>
  <cols>
    <col min="1" max="16384" width="10.83203125" style="1"/>
  </cols>
  <sheetData>
    <row r="1" spans="1:8" x14ac:dyDescent="0.2">
      <c r="A1" s="18" t="s">
        <v>2280</v>
      </c>
      <c r="B1" s="100" t="s">
        <v>2871</v>
      </c>
      <c r="C1" s="100"/>
      <c r="D1" s="100"/>
      <c r="E1" s="100"/>
      <c r="F1" s="100"/>
      <c r="G1" s="100"/>
      <c r="H1" s="19"/>
    </row>
    <row r="2" spans="1:8" x14ac:dyDescent="0.2">
      <c r="A2" s="106" t="s">
        <v>2281</v>
      </c>
      <c r="C2" s="1" t="s">
        <v>2282</v>
      </c>
      <c r="D2" s="1" t="s">
        <v>2283</v>
      </c>
      <c r="H2" s="107"/>
    </row>
    <row r="3" spans="1:8" x14ac:dyDescent="0.2">
      <c r="A3" s="106" t="s">
        <v>2284</v>
      </c>
      <c r="C3" s="1" t="s">
        <v>2285</v>
      </c>
      <c r="D3" s="1" t="s">
        <v>2286</v>
      </c>
      <c r="H3" s="107"/>
    </row>
    <row r="4" spans="1:8" x14ac:dyDescent="0.2">
      <c r="A4" s="106"/>
      <c r="H4" s="107"/>
    </row>
    <row r="5" spans="1:8" x14ac:dyDescent="0.2">
      <c r="A5" s="106" t="s">
        <v>2287</v>
      </c>
      <c r="H5" s="107"/>
    </row>
    <row r="6" spans="1:8" x14ac:dyDescent="0.2">
      <c r="A6" s="106"/>
      <c r="H6" s="107"/>
    </row>
    <row r="7" spans="1:8" ht="17" thickBot="1" x14ac:dyDescent="0.25">
      <c r="A7" s="20" t="s">
        <v>2288</v>
      </c>
      <c r="B7" s="103"/>
      <c r="C7" s="103"/>
      <c r="D7" s="103"/>
      <c r="E7" s="103"/>
      <c r="F7" s="103"/>
      <c r="G7" s="103"/>
      <c r="H7" s="21"/>
    </row>
    <row r="9" spans="1:8" x14ac:dyDescent="0.2">
      <c r="A9" s="1" t="s">
        <v>1573</v>
      </c>
    </row>
    <row r="10" spans="1:8" ht="17" thickBot="1" x14ac:dyDescent="0.25"/>
    <row r="11" spans="1:8" x14ac:dyDescent="0.2">
      <c r="A11" s="18" t="s">
        <v>1570</v>
      </c>
      <c r="B11" s="100" t="s">
        <v>638</v>
      </c>
      <c r="C11" s="100" t="s">
        <v>1571</v>
      </c>
      <c r="D11" s="100"/>
      <c r="E11" s="100"/>
      <c r="F11" s="100" t="s">
        <v>1572</v>
      </c>
      <c r="G11" s="100"/>
      <c r="H11" s="19"/>
    </row>
    <row r="12" spans="1:8" x14ac:dyDescent="0.2">
      <c r="A12" s="106">
        <v>1</v>
      </c>
      <c r="B12" s="120"/>
      <c r="H12" s="107"/>
    </row>
    <row r="13" spans="1:8" x14ac:dyDescent="0.2">
      <c r="A13" s="106"/>
      <c r="H13" s="107"/>
    </row>
    <row r="14" spans="1:8" ht="17" thickBot="1" x14ac:dyDescent="0.25">
      <c r="A14" s="20"/>
      <c r="B14" s="103"/>
      <c r="C14" s="103"/>
      <c r="D14" s="103"/>
      <c r="E14" s="103"/>
      <c r="F14" s="103"/>
      <c r="G14" s="103"/>
      <c r="H14" s="21"/>
    </row>
    <row r="15" spans="1:8" x14ac:dyDescent="0.2">
      <c r="A15" s="18">
        <v>2</v>
      </c>
      <c r="B15" s="251"/>
      <c r="C15" s="100"/>
      <c r="D15" s="100"/>
      <c r="E15" s="100"/>
      <c r="F15" s="100"/>
      <c r="G15" s="100"/>
      <c r="H15" s="19"/>
    </row>
    <row r="16" spans="1:8" x14ac:dyDescent="0.2">
      <c r="A16" s="106"/>
      <c r="H16" s="107"/>
    </row>
    <row r="17" spans="1:8" ht="17" thickBot="1" x14ac:dyDescent="0.25">
      <c r="A17" s="20"/>
      <c r="B17" s="103"/>
      <c r="C17" s="103"/>
      <c r="D17" s="103"/>
      <c r="E17" s="103"/>
      <c r="F17" s="103"/>
      <c r="G17" s="103"/>
      <c r="H17" s="21"/>
    </row>
    <row r="18" spans="1:8" x14ac:dyDescent="0.2">
      <c r="A18" s="18">
        <v>3</v>
      </c>
      <c r="B18" s="251"/>
      <c r="C18" s="100"/>
      <c r="D18" s="100"/>
      <c r="E18" s="100"/>
      <c r="F18" s="100"/>
      <c r="G18" s="100"/>
      <c r="H18" s="19"/>
    </row>
    <row r="19" spans="1:8" ht="17" thickBot="1" x14ac:dyDescent="0.25">
      <c r="A19" s="20"/>
      <c r="B19" s="277"/>
      <c r="C19" s="103"/>
      <c r="D19" s="103"/>
      <c r="E19" s="103"/>
      <c r="F19" s="103"/>
      <c r="G19" s="103"/>
      <c r="H19" s="21"/>
    </row>
    <row r="20" spans="1:8" x14ac:dyDescent="0.2">
      <c r="A20" s="18">
        <f>A18+1</f>
        <v>4</v>
      </c>
      <c r="B20" s="251"/>
      <c r="C20" s="100"/>
      <c r="D20" s="100"/>
      <c r="E20" s="100"/>
      <c r="F20" s="100"/>
      <c r="G20" s="100"/>
      <c r="H20" s="19"/>
    </row>
    <row r="21" spans="1:8" x14ac:dyDescent="0.2">
      <c r="A21" s="106"/>
      <c r="B21" s="120"/>
      <c r="H21" s="107"/>
    </row>
    <row r="22" spans="1:8" ht="17" thickBot="1" x14ac:dyDescent="0.25">
      <c r="A22" s="20"/>
      <c r="B22" s="277"/>
      <c r="C22" s="103"/>
      <c r="D22" s="103"/>
      <c r="E22" s="103"/>
      <c r="F22" s="103"/>
      <c r="G22" s="103"/>
      <c r="H22" s="21"/>
    </row>
    <row r="23" spans="1:8" x14ac:dyDescent="0.2">
      <c r="A23" s="18">
        <f>A20+1</f>
        <v>5</v>
      </c>
      <c r="B23" s="251"/>
      <c r="C23" s="100"/>
      <c r="D23" s="100"/>
      <c r="E23" s="100"/>
      <c r="F23" s="100"/>
      <c r="G23" s="100"/>
      <c r="H23" s="19"/>
    </row>
    <row r="24" spans="1:8" ht="17" thickBot="1" x14ac:dyDescent="0.25">
      <c r="A24" s="20"/>
      <c r="B24" s="277"/>
      <c r="C24" s="103"/>
      <c r="D24" s="103"/>
      <c r="E24" s="103"/>
      <c r="F24" s="103"/>
      <c r="G24" s="103"/>
      <c r="H24" s="21"/>
    </row>
    <row r="25" spans="1:8" ht="17" thickBot="1" x14ac:dyDescent="0.25">
      <c r="A25" s="146">
        <f>A23+1</f>
        <v>6</v>
      </c>
      <c r="B25" s="291"/>
      <c r="C25" s="121"/>
      <c r="D25" s="121"/>
      <c r="E25" s="121"/>
      <c r="F25" s="121"/>
      <c r="G25" s="121"/>
      <c r="H25" s="147"/>
    </row>
    <row r="26" spans="1:8" ht="17" thickBot="1" x14ac:dyDescent="0.25">
      <c r="A26" s="146">
        <f t="shared" ref="A26:A32" si="0">A25+1</f>
        <v>7</v>
      </c>
      <c r="B26" s="291"/>
      <c r="C26" s="121"/>
      <c r="D26" s="121"/>
      <c r="E26" s="121"/>
      <c r="F26" s="121"/>
      <c r="G26" s="121"/>
      <c r="H26" s="147"/>
    </row>
    <row r="27" spans="1:8" ht="17" thickBot="1" x14ac:dyDescent="0.25">
      <c r="A27" s="146">
        <f t="shared" si="0"/>
        <v>8</v>
      </c>
      <c r="B27" s="291"/>
      <c r="C27" s="121"/>
      <c r="D27" s="121"/>
      <c r="E27" s="121"/>
      <c r="F27" s="121"/>
      <c r="G27" s="121"/>
      <c r="H27" s="147"/>
    </row>
    <row r="28" spans="1:8" ht="17" thickBot="1" x14ac:dyDescent="0.25">
      <c r="A28" s="146">
        <f t="shared" si="0"/>
        <v>9</v>
      </c>
      <c r="B28" s="291"/>
      <c r="C28" s="121"/>
      <c r="D28" s="121"/>
      <c r="E28" s="121"/>
      <c r="F28" s="121"/>
      <c r="G28" s="121"/>
      <c r="H28" s="147"/>
    </row>
    <row r="29" spans="1:8" ht="17" thickBot="1" x14ac:dyDescent="0.25">
      <c r="A29" s="146">
        <f t="shared" si="0"/>
        <v>10</v>
      </c>
      <c r="B29" s="291"/>
      <c r="C29" s="121"/>
      <c r="D29" s="121"/>
      <c r="E29" s="121"/>
      <c r="F29" s="121"/>
      <c r="G29" s="121"/>
      <c r="H29" s="147"/>
    </row>
    <row r="30" spans="1:8" ht="17" thickBot="1" x14ac:dyDescent="0.25">
      <c r="A30" s="146">
        <f t="shared" si="0"/>
        <v>11</v>
      </c>
      <c r="B30" s="291"/>
      <c r="C30" s="121"/>
      <c r="D30" s="121"/>
      <c r="E30" s="121"/>
      <c r="F30" s="121"/>
      <c r="G30" s="121"/>
      <c r="H30" s="147"/>
    </row>
    <row r="31" spans="1:8" ht="17" thickBot="1" x14ac:dyDescent="0.25">
      <c r="A31" s="146">
        <f t="shared" si="0"/>
        <v>12</v>
      </c>
      <c r="B31" s="291"/>
      <c r="C31" s="121"/>
      <c r="D31" s="121"/>
      <c r="E31" s="121"/>
      <c r="F31" s="121"/>
      <c r="G31" s="121"/>
      <c r="H31" s="147"/>
    </row>
    <row r="32" spans="1:8" ht="17" thickBot="1" x14ac:dyDescent="0.25">
      <c r="A32" s="146">
        <f t="shared" si="0"/>
        <v>13</v>
      </c>
      <c r="B32" s="384"/>
      <c r="C32" s="121"/>
      <c r="D32" s="121"/>
      <c r="E32" s="121"/>
      <c r="F32" s="121"/>
      <c r="G32" s="121"/>
      <c r="H32" s="147"/>
    </row>
    <row r="33" spans="1:8" ht="17" thickBot="1" x14ac:dyDescent="0.25">
      <c r="A33" s="146">
        <v>14</v>
      </c>
      <c r="B33" s="291"/>
      <c r="C33" s="121"/>
      <c r="D33" s="121"/>
      <c r="E33" s="121"/>
      <c r="F33" s="121"/>
      <c r="G33" s="121"/>
      <c r="H33" s="147"/>
    </row>
  </sheetData>
  <pageMargins left="0.7" right="0.7" top="0.75" bottom="0.75" header="0.3" footer="0.3"/>
  <pageSetup paperSize="9" scale="95" orientation="portrait" horizontalDpi="0" verticalDpi="0"/>
  <colBreaks count="1" manualBreakCount="1">
    <brk id="8" max="1048575" man="1"/>
  </colBreak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DB7B544-D0CD-FD48-8E9C-CC82897DEDC7}">
  <dimension ref="A1:I244"/>
  <sheetViews>
    <sheetView rightToLeft="1" topLeftCell="A183" zoomScale="281" workbookViewId="0">
      <selection activeCell="F229" sqref="F229:G244"/>
    </sheetView>
  </sheetViews>
  <sheetFormatPr baseColWidth="10" defaultRowHeight="16" x14ac:dyDescent="0.2"/>
  <cols>
    <col min="1" max="1" width="11.5" style="1" customWidth="1"/>
    <col min="2" max="16384" width="10.83203125" style="1"/>
  </cols>
  <sheetData>
    <row r="1" spans="1:9" x14ac:dyDescent="0.2">
      <c r="A1" s="7" t="s">
        <v>1704</v>
      </c>
      <c r="B1" s="7"/>
      <c r="C1" s="7"/>
      <c r="D1" s="7"/>
      <c r="E1" s="7"/>
      <c r="F1" s="7"/>
      <c r="G1" s="7"/>
      <c r="H1" s="7"/>
      <c r="I1" s="250">
        <v>44879</v>
      </c>
    </row>
    <row r="3" spans="1:9" x14ac:dyDescent="0.2">
      <c r="A3" s="1" t="s">
        <v>190</v>
      </c>
    </row>
    <row r="4" spans="1:9" x14ac:dyDescent="0.2">
      <c r="A4" s="1" t="s">
        <v>191</v>
      </c>
    </row>
    <row r="6" spans="1:9" x14ac:dyDescent="0.2">
      <c r="A6" s="1" t="s">
        <v>209</v>
      </c>
    </row>
    <row r="7" spans="1:9" x14ac:dyDescent="0.2">
      <c r="H7" s="35" t="s">
        <v>188</v>
      </c>
    </row>
    <row r="9" spans="1:9" x14ac:dyDescent="0.2">
      <c r="A9" s="34" t="s">
        <v>192</v>
      </c>
      <c r="B9" s="33"/>
      <c r="C9" s="33"/>
      <c r="D9" s="33"/>
      <c r="E9" s="33"/>
      <c r="F9" s="33"/>
      <c r="G9" s="33"/>
      <c r="H9" s="33"/>
      <c r="I9" s="33"/>
    </row>
    <row r="10" spans="1:9" x14ac:dyDescent="0.2">
      <c r="A10" s="1" t="s">
        <v>193</v>
      </c>
    </row>
    <row r="11" spans="1:9" x14ac:dyDescent="0.2">
      <c r="A11" s="1" t="s">
        <v>194</v>
      </c>
    </row>
    <row r="12" spans="1:9" x14ac:dyDescent="0.2">
      <c r="A12" s="1" t="s">
        <v>203</v>
      </c>
    </row>
    <row r="13" spans="1:9" x14ac:dyDescent="0.2">
      <c r="A13" s="1" t="s">
        <v>195</v>
      </c>
    </row>
    <row r="14" spans="1:9" x14ac:dyDescent="0.2">
      <c r="A14" s="1" t="s">
        <v>196</v>
      </c>
    </row>
    <row r="15" spans="1:9" x14ac:dyDescent="0.2">
      <c r="A15" s="1" t="s">
        <v>197</v>
      </c>
    </row>
    <row r="16" spans="1:9" x14ac:dyDescent="0.2">
      <c r="A16" s="1" t="s">
        <v>210</v>
      </c>
    </row>
    <row r="17" spans="1:9" x14ac:dyDescent="0.2">
      <c r="A17" s="1" t="s">
        <v>198</v>
      </c>
    </row>
    <row r="18" spans="1:9" x14ac:dyDescent="0.2">
      <c r="A18" s="1" t="s">
        <v>199</v>
      </c>
    </row>
    <row r="19" spans="1:9" x14ac:dyDescent="0.2">
      <c r="A19" s="1" t="s">
        <v>200</v>
      </c>
    </row>
    <row r="20" spans="1:9" x14ac:dyDescent="0.2">
      <c r="A20" s="1" t="s">
        <v>201</v>
      </c>
    </row>
    <row r="21" spans="1:9" x14ac:dyDescent="0.2">
      <c r="A21" s="1" t="s">
        <v>202</v>
      </c>
    </row>
    <row r="23" spans="1:9" x14ac:dyDescent="0.2">
      <c r="A23" s="33" t="s">
        <v>204</v>
      </c>
      <c r="B23" s="33"/>
      <c r="C23" s="33"/>
      <c r="D23" s="33"/>
      <c r="E23" s="33"/>
      <c r="F23" s="33"/>
      <c r="G23" s="33"/>
      <c r="H23" s="33"/>
      <c r="I23" s="33"/>
    </row>
    <row r="24" spans="1:9" x14ac:dyDescent="0.2">
      <c r="A24" s="33" t="s">
        <v>205</v>
      </c>
      <c r="B24" s="33"/>
      <c r="C24" s="33"/>
      <c r="D24" s="33"/>
      <c r="E24" s="33"/>
      <c r="F24" s="33"/>
      <c r="G24" s="33"/>
      <c r="H24" s="33"/>
      <c r="I24" s="33"/>
    </row>
    <row r="25" spans="1:9" x14ac:dyDescent="0.2">
      <c r="A25" s="33" t="s">
        <v>208</v>
      </c>
      <c r="B25" s="33"/>
      <c r="C25" s="33"/>
      <c r="D25" s="33"/>
      <c r="E25" s="33"/>
      <c r="F25" s="33"/>
      <c r="G25" s="33"/>
      <c r="H25" s="33"/>
      <c r="I25" s="33"/>
    </row>
    <row r="26" spans="1:9" x14ac:dyDescent="0.2">
      <c r="A26" s="33" t="s">
        <v>206</v>
      </c>
      <c r="B26" s="33"/>
      <c r="C26" s="33"/>
      <c r="D26" s="33"/>
      <c r="E26" s="33"/>
      <c r="F26" s="33"/>
      <c r="G26" s="33"/>
      <c r="H26" s="33"/>
      <c r="I26" s="33"/>
    </row>
    <row r="27" spans="1:9" x14ac:dyDescent="0.2">
      <c r="A27" s="33" t="s">
        <v>207</v>
      </c>
      <c r="B27" s="33"/>
      <c r="C27" s="33"/>
      <c r="D27" s="33"/>
      <c r="E27" s="33"/>
      <c r="F27" s="33"/>
      <c r="G27" s="33"/>
      <c r="H27" s="33"/>
      <c r="I27" s="33"/>
    </row>
    <row r="29" spans="1:9" x14ac:dyDescent="0.2">
      <c r="A29" s="1" t="s">
        <v>211</v>
      </c>
    </row>
    <row r="30" spans="1:9" x14ac:dyDescent="0.2">
      <c r="C30" s="37" t="s">
        <v>11</v>
      </c>
      <c r="D30" s="36" t="s">
        <v>79</v>
      </c>
      <c r="E30" s="38" t="s">
        <v>212</v>
      </c>
      <c r="F30" s="572" t="s">
        <v>131</v>
      </c>
      <c r="G30" s="572"/>
      <c r="H30" s="572"/>
    </row>
    <row r="31" spans="1:9" x14ac:dyDescent="0.2">
      <c r="F31" s="6" t="s">
        <v>29</v>
      </c>
      <c r="G31" s="6" t="s">
        <v>213</v>
      </c>
      <c r="H31" s="6" t="s">
        <v>145</v>
      </c>
    </row>
    <row r="32" spans="1:9" x14ac:dyDescent="0.2">
      <c r="A32" s="1" t="s">
        <v>218</v>
      </c>
    </row>
    <row r="33" spans="1:8" x14ac:dyDescent="0.2">
      <c r="C33" s="3" t="s">
        <v>214</v>
      </c>
      <c r="E33" s="571" t="s">
        <v>216</v>
      </c>
      <c r="F33" s="571"/>
      <c r="G33" s="571"/>
      <c r="H33" s="571"/>
    </row>
    <row r="34" spans="1:8" x14ac:dyDescent="0.2">
      <c r="C34" s="3" t="s">
        <v>215</v>
      </c>
      <c r="E34" s="571" t="s">
        <v>217</v>
      </c>
      <c r="F34" s="571"/>
      <c r="G34" s="571"/>
      <c r="H34" s="571"/>
    </row>
    <row r="39" spans="1:8" x14ac:dyDescent="0.2">
      <c r="A39" s="42" t="s">
        <v>203</v>
      </c>
    </row>
    <row r="40" spans="1:8" x14ac:dyDescent="0.2">
      <c r="C40" s="573" t="s">
        <v>11</v>
      </c>
      <c r="D40" s="575" t="s">
        <v>79</v>
      </c>
      <c r="E40" s="38" t="s">
        <v>212</v>
      </c>
      <c r="F40" s="572" t="s">
        <v>131</v>
      </c>
      <c r="G40" s="572"/>
      <c r="H40" s="572"/>
    </row>
    <row r="41" spans="1:8" x14ac:dyDescent="0.2">
      <c r="C41" s="574"/>
      <c r="D41" s="576"/>
      <c r="E41" s="39"/>
      <c r="F41" s="40" t="s">
        <v>29</v>
      </c>
      <c r="G41" s="40" t="s">
        <v>213</v>
      </c>
      <c r="H41" s="40" t="s">
        <v>145</v>
      </c>
    </row>
    <row r="42" spans="1:8" x14ac:dyDescent="0.2">
      <c r="C42" s="6" t="s">
        <v>140</v>
      </c>
    </row>
    <row r="43" spans="1:8" x14ac:dyDescent="0.2">
      <c r="C43" s="41">
        <v>200000</v>
      </c>
      <c r="F43" s="41">
        <v>200000</v>
      </c>
    </row>
    <row r="44" spans="1:8" x14ac:dyDescent="0.2">
      <c r="C44" s="41"/>
      <c r="F44" s="41"/>
    </row>
    <row r="45" spans="1:8" x14ac:dyDescent="0.2">
      <c r="A45" s="1" t="s">
        <v>219</v>
      </c>
      <c r="B45" s="24">
        <f>C43</f>
        <v>200000</v>
      </c>
      <c r="C45" s="41"/>
      <c r="F45" s="41"/>
    </row>
    <row r="46" spans="1:8" x14ac:dyDescent="0.2">
      <c r="A46" s="1" t="s">
        <v>220</v>
      </c>
      <c r="B46" s="24">
        <f>B45</f>
        <v>200000</v>
      </c>
      <c r="C46" s="41"/>
      <c r="F46" s="41"/>
    </row>
    <row r="47" spans="1:8" x14ac:dyDescent="0.2">
      <c r="C47" s="41"/>
      <c r="F47" s="41"/>
    </row>
    <row r="48" spans="1:8" x14ac:dyDescent="0.2">
      <c r="C48" s="41"/>
      <c r="F48" s="41"/>
    </row>
    <row r="49" spans="1:8" x14ac:dyDescent="0.2">
      <c r="C49" s="41"/>
      <c r="F49" s="41"/>
    </row>
    <row r="51" spans="1:8" x14ac:dyDescent="0.2">
      <c r="A51" s="42" t="s">
        <v>195</v>
      </c>
    </row>
    <row r="52" spans="1:8" ht="50" customHeight="1" x14ac:dyDescent="0.2">
      <c r="A52" s="42"/>
      <c r="C52" s="577" t="s">
        <v>221</v>
      </c>
      <c r="D52" s="575" t="s">
        <v>79</v>
      </c>
      <c r="E52" s="578" t="s">
        <v>222</v>
      </c>
      <c r="F52" s="578"/>
      <c r="G52" s="578"/>
      <c r="H52" s="578"/>
    </row>
    <row r="53" spans="1:8" ht="31" customHeight="1" x14ac:dyDescent="0.2">
      <c r="A53" s="42"/>
      <c r="C53" s="574"/>
      <c r="D53" s="576"/>
      <c r="E53" s="43" t="s">
        <v>223</v>
      </c>
      <c r="F53" s="40" t="s">
        <v>29</v>
      </c>
      <c r="G53" s="40" t="s">
        <v>213</v>
      </c>
      <c r="H53" s="40" t="s">
        <v>145</v>
      </c>
    </row>
    <row r="54" spans="1:8" ht="31" customHeight="1" x14ac:dyDescent="0.2">
      <c r="A54" s="42"/>
      <c r="C54" s="6" t="s">
        <v>140</v>
      </c>
    </row>
    <row r="55" spans="1:8" x14ac:dyDescent="0.2">
      <c r="C55" s="41">
        <v>70000</v>
      </c>
      <c r="E55" s="24">
        <v>70000</v>
      </c>
      <c r="F55" s="41"/>
    </row>
    <row r="57" spans="1:8" x14ac:dyDescent="0.2">
      <c r="A57" s="1" t="s">
        <v>219</v>
      </c>
      <c r="C57" s="24">
        <f>C55</f>
        <v>70000</v>
      </c>
    </row>
    <row r="58" spans="1:8" x14ac:dyDescent="0.2">
      <c r="A58" s="1" t="s">
        <v>272</v>
      </c>
      <c r="C58" s="24">
        <f>C57</f>
        <v>70000</v>
      </c>
    </row>
    <row r="61" spans="1:8" x14ac:dyDescent="0.2">
      <c r="A61" s="42" t="s">
        <v>196</v>
      </c>
    </row>
    <row r="62" spans="1:8" ht="50" customHeight="1" x14ac:dyDescent="0.2">
      <c r="A62" s="42"/>
      <c r="C62" s="577" t="s">
        <v>221</v>
      </c>
      <c r="D62" s="575" t="s">
        <v>79</v>
      </c>
      <c r="E62" s="578" t="s">
        <v>222</v>
      </c>
      <c r="F62" s="578"/>
      <c r="G62" s="578"/>
      <c r="H62" s="578"/>
    </row>
    <row r="63" spans="1:8" ht="31" customHeight="1" x14ac:dyDescent="0.2">
      <c r="A63" s="42"/>
      <c r="C63" s="574"/>
      <c r="D63" s="576"/>
      <c r="E63" s="43" t="s">
        <v>223</v>
      </c>
      <c r="F63" s="40" t="s">
        <v>29</v>
      </c>
      <c r="G63" s="40" t="s">
        <v>213</v>
      </c>
      <c r="H63" s="40" t="s">
        <v>145</v>
      </c>
    </row>
    <row r="64" spans="1:8" ht="19" customHeight="1" x14ac:dyDescent="0.2">
      <c r="A64" s="42"/>
      <c r="C64" s="6" t="s">
        <v>140</v>
      </c>
    </row>
    <row r="65" spans="1:8" x14ac:dyDescent="0.2">
      <c r="C65" s="44">
        <v>-7000</v>
      </c>
      <c r="D65" s="44"/>
      <c r="E65" s="44"/>
      <c r="F65" s="44"/>
      <c r="G65" s="44"/>
      <c r="H65" s="44">
        <f>C65</f>
        <v>-7000</v>
      </c>
    </row>
    <row r="66" spans="1:8" x14ac:dyDescent="0.2">
      <c r="C66" s="41"/>
      <c r="E66" s="24"/>
      <c r="F66" s="41"/>
    </row>
    <row r="67" spans="1:8" x14ac:dyDescent="0.2">
      <c r="A67" s="1" t="s">
        <v>84</v>
      </c>
      <c r="B67" s="1" t="s">
        <v>224</v>
      </c>
      <c r="C67" s="41"/>
      <c r="E67" s="24"/>
      <c r="F67" s="41"/>
    </row>
    <row r="68" spans="1:8" x14ac:dyDescent="0.2">
      <c r="C68" s="41"/>
      <c r="E68" s="24"/>
      <c r="F68" s="41"/>
    </row>
    <row r="69" spans="1:8" x14ac:dyDescent="0.2">
      <c r="A69" s="1" t="s">
        <v>225</v>
      </c>
      <c r="C69" s="24">
        <v>7000</v>
      </c>
      <c r="E69" s="24"/>
      <c r="F69" s="41"/>
    </row>
    <row r="70" spans="1:8" x14ac:dyDescent="0.2">
      <c r="A70" s="1" t="s">
        <v>226</v>
      </c>
      <c r="C70" s="45">
        <f>C69</f>
        <v>7000</v>
      </c>
      <c r="E70" s="24"/>
      <c r="F70" s="41"/>
    </row>
    <row r="71" spans="1:8" x14ac:dyDescent="0.2">
      <c r="C71" s="41"/>
      <c r="E71" s="24"/>
      <c r="F71" s="41"/>
    </row>
    <row r="72" spans="1:8" x14ac:dyDescent="0.2">
      <c r="A72" s="1" t="s">
        <v>227</v>
      </c>
      <c r="C72" s="41"/>
      <c r="E72" s="24"/>
      <c r="F72" s="41"/>
    </row>
    <row r="73" spans="1:8" x14ac:dyDescent="0.2">
      <c r="B73" s="1" t="s">
        <v>228</v>
      </c>
      <c r="C73" s="41"/>
      <c r="E73" s="24"/>
      <c r="F73" s="41"/>
    </row>
    <row r="74" spans="1:8" x14ac:dyDescent="0.2">
      <c r="B74" s="1" t="s">
        <v>229</v>
      </c>
      <c r="C74" s="41"/>
      <c r="E74" s="24"/>
      <c r="F74" s="41"/>
    </row>
    <row r="75" spans="1:8" x14ac:dyDescent="0.2">
      <c r="B75" s="1" t="s">
        <v>230</v>
      </c>
      <c r="C75" s="41"/>
      <c r="E75" s="24"/>
      <c r="F75" s="41"/>
    </row>
    <row r="76" spans="1:8" x14ac:dyDescent="0.2">
      <c r="B76" s="2" t="s">
        <v>231</v>
      </c>
      <c r="C76" s="41"/>
      <c r="E76" s="24"/>
      <c r="F76" s="41"/>
    </row>
    <row r="77" spans="1:8" x14ac:dyDescent="0.2">
      <c r="C77" s="41"/>
      <c r="E77" s="24"/>
      <c r="F77" s="41"/>
    </row>
    <row r="78" spans="1:8" x14ac:dyDescent="0.2">
      <c r="C78" s="41"/>
      <c r="E78" s="24"/>
      <c r="F78" s="41"/>
    </row>
    <row r="79" spans="1:8" x14ac:dyDescent="0.2">
      <c r="A79" s="42" t="s">
        <v>197</v>
      </c>
    </row>
    <row r="81" spans="1:8" ht="48" customHeight="1" x14ac:dyDescent="0.2">
      <c r="C81" s="577" t="s">
        <v>221</v>
      </c>
      <c r="D81" s="575" t="s">
        <v>79</v>
      </c>
      <c r="E81" s="578" t="s">
        <v>222</v>
      </c>
      <c r="F81" s="578"/>
      <c r="G81" s="578"/>
      <c r="H81" s="578"/>
    </row>
    <row r="82" spans="1:8" ht="27" customHeight="1" x14ac:dyDescent="0.2">
      <c r="C82" s="574"/>
      <c r="D82" s="576"/>
      <c r="E82" s="43" t="s">
        <v>232</v>
      </c>
      <c r="F82" s="40" t="s">
        <v>29</v>
      </c>
      <c r="G82" s="40" t="s">
        <v>213</v>
      </c>
      <c r="H82" s="40" t="s">
        <v>145</v>
      </c>
    </row>
    <row r="83" spans="1:8" x14ac:dyDescent="0.2">
      <c r="C83" s="46" t="s">
        <v>140</v>
      </c>
      <c r="E83" s="46" t="s">
        <v>21</v>
      </c>
      <c r="H83" s="8"/>
    </row>
    <row r="84" spans="1:8" x14ac:dyDescent="0.2">
      <c r="C84" s="47">
        <v>-10000</v>
      </c>
      <c r="E84" s="48">
        <v>30000</v>
      </c>
      <c r="H84" s="47">
        <v>-40000</v>
      </c>
    </row>
    <row r="86" spans="1:8" x14ac:dyDescent="0.2">
      <c r="A86" s="1" t="s">
        <v>233</v>
      </c>
    </row>
    <row r="87" spans="1:8" x14ac:dyDescent="0.2">
      <c r="A87" s="1" t="s">
        <v>235</v>
      </c>
    </row>
    <row r="88" spans="1:8" x14ac:dyDescent="0.2">
      <c r="A88" s="1" t="s">
        <v>234</v>
      </c>
    </row>
    <row r="90" spans="1:8" x14ac:dyDescent="0.2">
      <c r="A90" s="1" t="s">
        <v>236</v>
      </c>
    </row>
    <row r="92" spans="1:8" x14ac:dyDescent="0.2">
      <c r="A92" s="1" t="s">
        <v>237</v>
      </c>
    </row>
    <row r="93" spans="1:8" x14ac:dyDescent="0.2">
      <c r="A93" s="1" t="s">
        <v>238</v>
      </c>
    </row>
    <row r="95" spans="1:8" x14ac:dyDescent="0.2">
      <c r="A95" s="1" t="s">
        <v>225</v>
      </c>
      <c r="B95" s="24">
        <v>10000</v>
      </c>
    </row>
    <row r="96" spans="1:8" x14ac:dyDescent="0.2">
      <c r="A96" s="1" t="s">
        <v>239</v>
      </c>
      <c r="B96" s="24">
        <v>30000</v>
      </c>
    </row>
    <row r="97" spans="1:8" x14ac:dyDescent="0.2">
      <c r="A97" s="1" t="s">
        <v>240</v>
      </c>
      <c r="B97" s="24">
        <f>40000</f>
        <v>40000</v>
      </c>
    </row>
    <row r="102" spans="1:8" x14ac:dyDescent="0.2">
      <c r="A102" s="42" t="s">
        <v>210</v>
      </c>
    </row>
    <row r="104" spans="1:8" ht="34" customHeight="1" x14ac:dyDescent="0.2">
      <c r="B104" s="577" t="s">
        <v>221</v>
      </c>
      <c r="C104" s="577"/>
      <c r="D104" s="575" t="s">
        <v>79</v>
      </c>
      <c r="E104" s="578" t="s">
        <v>222</v>
      </c>
      <c r="F104" s="578"/>
      <c r="G104" s="578"/>
      <c r="H104" s="578"/>
    </row>
    <row r="105" spans="1:8" ht="17" x14ac:dyDescent="0.2">
      <c r="B105" s="579"/>
      <c r="C105" s="579"/>
      <c r="D105" s="576"/>
      <c r="E105" s="43" t="s">
        <v>232</v>
      </c>
      <c r="F105" s="40" t="s">
        <v>29</v>
      </c>
      <c r="G105" s="40" t="s">
        <v>213</v>
      </c>
      <c r="H105" s="40" t="s">
        <v>145</v>
      </c>
    </row>
    <row r="106" spans="1:8" x14ac:dyDescent="0.2">
      <c r="B106" s="46" t="s">
        <v>140</v>
      </c>
      <c r="C106" s="46" t="s">
        <v>19</v>
      </c>
      <c r="E106" s="46"/>
      <c r="H106" s="8"/>
    </row>
    <row r="107" spans="1:8" x14ac:dyDescent="0.2">
      <c r="B107" s="48">
        <v>44000</v>
      </c>
      <c r="C107" s="47">
        <v>56000</v>
      </c>
      <c r="E107" s="48"/>
      <c r="G107" s="48">
        <v>100000</v>
      </c>
      <c r="H107" s="47"/>
    </row>
    <row r="109" spans="1:8" x14ac:dyDescent="0.2">
      <c r="A109" s="1" t="s">
        <v>241</v>
      </c>
    </row>
    <row r="110" spans="1:8" x14ac:dyDescent="0.2">
      <c r="A110" s="1" t="s">
        <v>242</v>
      </c>
    </row>
    <row r="112" spans="1:8" x14ac:dyDescent="0.2">
      <c r="A112" s="1" t="s">
        <v>243</v>
      </c>
      <c r="E112" s="24">
        <v>100000</v>
      </c>
    </row>
    <row r="113" spans="1:8" x14ac:dyDescent="0.2">
      <c r="A113" s="1" t="s">
        <v>244</v>
      </c>
      <c r="E113" s="24">
        <v>44000</v>
      </c>
    </row>
    <row r="114" spans="1:8" x14ac:dyDescent="0.2">
      <c r="A114" s="1" t="s">
        <v>245</v>
      </c>
      <c r="E114" s="49">
        <f>E112-E113</f>
        <v>56000</v>
      </c>
      <c r="G114" s="1" t="s">
        <v>246</v>
      </c>
    </row>
    <row r="116" spans="1:8" x14ac:dyDescent="0.2">
      <c r="A116" s="1" t="s">
        <v>247</v>
      </c>
    </row>
    <row r="117" spans="1:8" x14ac:dyDescent="0.2">
      <c r="A117" s="1" t="s">
        <v>219</v>
      </c>
      <c r="B117" s="24">
        <v>44000</v>
      </c>
    </row>
    <row r="118" spans="1:8" x14ac:dyDescent="0.2">
      <c r="A118" s="1" t="s">
        <v>248</v>
      </c>
      <c r="B118" s="24">
        <v>56000</v>
      </c>
    </row>
    <row r="119" spans="1:8" x14ac:dyDescent="0.2">
      <c r="A119" s="1" t="s">
        <v>249</v>
      </c>
      <c r="B119" s="24">
        <f>G107</f>
        <v>100000</v>
      </c>
    </row>
    <row r="121" spans="1:8" x14ac:dyDescent="0.2">
      <c r="A121" s="42" t="s">
        <v>198</v>
      </c>
    </row>
    <row r="123" spans="1:8" ht="34" customHeight="1" x14ac:dyDescent="0.2">
      <c r="B123" s="577" t="s">
        <v>221</v>
      </c>
      <c r="C123" s="577"/>
      <c r="D123" s="575" t="s">
        <v>79</v>
      </c>
      <c r="E123" s="578" t="s">
        <v>222</v>
      </c>
      <c r="F123" s="578"/>
      <c r="G123" s="578"/>
      <c r="H123" s="578"/>
    </row>
    <row r="124" spans="1:8" ht="17" x14ac:dyDescent="0.2">
      <c r="B124" s="579"/>
      <c r="C124" s="579"/>
      <c r="D124" s="576"/>
      <c r="E124" s="43" t="s">
        <v>232</v>
      </c>
      <c r="F124" s="40" t="s">
        <v>29</v>
      </c>
      <c r="G124" s="40" t="s">
        <v>213</v>
      </c>
      <c r="H124" s="40" t="s">
        <v>145</v>
      </c>
    </row>
    <row r="125" spans="1:8" x14ac:dyDescent="0.2">
      <c r="B125" s="46" t="s">
        <v>140</v>
      </c>
      <c r="C125" s="46"/>
      <c r="E125" s="46"/>
      <c r="H125" s="8"/>
    </row>
    <row r="126" spans="1:8" x14ac:dyDescent="0.2">
      <c r="B126" s="47">
        <v>-15000</v>
      </c>
      <c r="C126" s="47"/>
      <c r="E126" s="48"/>
      <c r="G126" s="48"/>
      <c r="H126" s="47">
        <f>B126</f>
        <v>-15000</v>
      </c>
    </row>
    <row r="128" spans="1:8" x14ac:dyDescent="0.2">
      <c r="A128" s="1" t="s">
        <v>247</v>
      </c>
    </row>
    <row r="129" spans="1:8" x14ac:dyDescent="0.2">
      <c r="A129" s="1" t="s">
        <v>225</v>
      </c>
      <c r="C129" s="24">
        <v>15000</v>
      </c>
    </row>
    <row r="130" spans="1:8" x14ac:dyDescent="0.2">
      <c r="A130" s="1" t="s">
        <v>250</v>
      </c>
      <c r="C130" s="24">
        <f>C129</f>
        <v>15000</v>
      </c>
    </row>
    <row r="133" spans="1:8" x14ac:dyDescent="0.2">
      <c r="A133" s="42" t="s">
        <v>199</v>
      </c>
    </row>
    <row r="135" spans="1:8" x14ac:dyDescent="0.2">
      <c r="A135" s="1" t="s">
        <v>247</v>
      </c>
      <c r="E135" s="1" t="s">
        <v>252</v>
      </c>
    </row>
    <row r="136" spans="1:8" x14ac:dyDescent="0.2">
      <c r="A136" s="1" t="s">
        <v>225</v>
      </c>
      <c r="C136" s="24">
        <v>4000</v>
      </c>
    </row>
    <row r="137" spans="1:8" x14ac:dyDescent="0.2">
      <c r="A137" s="1" t="s">
        <v>251</v>
      </c>
      <c r="C137" s="24">
        <f>C136</f>
        <v>4000</v>
      </c>
    </row>
    <row r="138" spans="1:8" x14ac:dyDescent="0.2">
      <c r="C138" s="24"/>
    </row>
    <row r="139" spans="1:8" x14ac:dyDescent="0.2">
      <c r="A139" s="42" t="s">
        <v>253</v>
      </c>
      <c r="B139" s="42"/>
      <c r="C139" s="42"/>
      <c r="D139" s="42"/>
    </row>
    <row r="141" spans="1:8" ht="57" customHeight="1" x14ac:dyDescent="0.2">
      <c r="B141" s="577" t="s">
        <v>221</v>
      </c>
      <c r="C141" s="577"/>
      <c r="D141" s="575" t="s">
        <v>79</v>
      </c>
      <c r="E141" s="578" t="s">
        <v>222</v>
      </c>
      <c r="F141" s="578"/>
      <c r="G141" s="578"/>
      <c r="H141" s="578"/>
    </row>
    <row r="142" spans="1:8" ht="33" customHeight="1" x14ac:dyDescent="0.2">
      <c r="B142" s="579"/>
      <c r="C142" s="579"/>
      <c r="D142" s="576"/>
      <c r="E142" s="50" t="s">
        <v>232</v>
      </c>
      <c r="F142" s="40" t="s">
        <v>29</v>
      </c>
      <c r="G142" s="40" t="s">
        <v>213</v>
      </c>
      <c r="H142" s="40" t="s">
        <v>145</v>
      </c>
    </row>
    <row r="143" spans="1:8" x14ac:dyDescent="0.2">
      <c r="B143" s="46" t="s">
        <v>140</v>
      </c>
      <c r="C143" s="46" t="s">
        <v>254</v>
      </c>
      <c r="E143" s="46" t="s">
        <v>21</v>
      </c>
      <c r="H143" s="8"/>
    </row>
    <row r="144" spans="1:8" x14ac:dyDescent="0.2">
      <c r="B144" s="47">
        <v>-5000</v>
      </c>
      <c r="C144" s="47">
        <v>8000</v>
      </c>
      <c r="E144" s="48">
        <v>3000</v>
      </c>
      <c r="G144" s="48"/>
      <c r="H144" s="47"/>
    </row>
    <row r="146" spans="1:9" x14ac:dyDescent="0.2">
      <c r="A146" s="1" t="s">
        <v>84</v>
      </c>
      <c r="B146" s="1" t="s">
        <v>259</v>
      </c>
    </row>
    <row r="148" spans="1:9" x14ac:dyDescent="0.2">
      <c r="A148" s="1" t="s">
        <v>255</v>
      </c>
      <c r="E148" s="47">
        <v>-5000</v>
      </c>
    </row>
    <row r="149" spans="1:9" x14ac:dyDescent="0.2">
      <c r="A149" s="1" t="s">
        <v>256</v>
      </c>
    </row>
    <row r="150" spans="1:9" x14ac:dyDescent="0.2">
      <c r="A150" s="1" t="s">
        <v>258</v>
      </c>
      <c r="I150" s="1" t="s">
        <v>257</v>
      </c>
    </row>
    <row r="152" spans="1:9" x14ac:dyDescent="0.2">
      <c r="A152" s="1" t="s">
        <v>247</v>
      </c>
    </row>
    <row r="153" spans="1:9" x14ac:dyDescent="0.2">
      <c r="B153" s="1" t="s">
        <v>225</v>
      </c>
      <c r="C153" s="24">
        <v>5000</v>
      </c>
      <c r="D153" s="1" t="s">
        <v>261</v>
      </c>
    </row>
    <row r="154" spans="1:9" x14ac:dyDescent="0.2">
      <c r="B154" s="1" t="s">
        <v>260</v>
      </c>
      <c r="C154" s="24">
        <v>8000</v>
      </c>
      <c r="D154" s="1" t="s">
        <v>262</v>
      </c>
    </row>
    <row r="155" spans="1:9" x14ac:dyDescent="0.2">
      <c r="B155" s="1" t="s">
        <v>239</v>
      </c>
      <c r="C155" s="24">
        <v>3000</v>
      </c>
      <c r="D155" s="1" t="s">
        <v>263</v>
      </c>
    </row>
    <row r="158" spans="1:9" x14ac:dyDescent="0.2">
      <c r="A158" s="42" t="s">
        <v>201</v>
      </c>
    </row>
    <row r="160" spans="1:9" ht="57" customHeight="1" x14ac:dyDescent="0.2">
      <c r="B160" s="577" t="s">
        <v>221</v>
      </c>
      <c r="C160" s="577"/>
      <c r="D160" s="575" t="s">
        <v>79</v>
      </c>
      <c r="E160" s="578" t="s">
        <v>222</v>
      </c>
      <c r="F160" s="578"/>
      <c r="G160" s="578"/>
      <c r="H160" s="578"/>
    </row>
    <row r="161" spans="1:8" ht="33" customHeight="1" x14ac:dyDescent="0.2">
      <c r="B161" s="579"/>
      <c r="C161" s="579"/>
      <c r="D161" s="576"/>
      <c r="E161" s="50" t="s">
        <v>232</v>
      </c>
      <c r="F161" s="40" t="s">
        <v>29</v>
      </c>
      <c r="G161" s="40" t="s">
        <v>213</v>
      </c>
      <c r="H161" s="40" t="s">
        <v>145</v>
      </c>
    </row>
    <row r="162" spans="1:8" ht="34" x14ac:dyDescent="0.2">
      <c r="B162" s="46" t="s">
        <v>140</v>
      </c>
      <c r="C162" s="46"/>
      <c r="E162" s="51" t="s">
        <v>264</v>
      </c>
      <c r="H162" s="8"/>
    </row>
    <row r="163" spans="1:8" x14ac:dyDescent="0.2">
      <c r="B163" s="47">
        <v>10000</v>
      </c>
      <c r="C163" s="47"/>
      <c r="E163" s="48">
        <f>B163</f>
        <v>10000</v>
      </c>
      <c r="G163" s="48"/>
      <c r="H163" s="47"/>
    </row>
    <row r="165" spans="1:8" x14ac:dyDescent="0.2">
      <c r="A165" s="1" t="s">
        <v>247</v>
      </c>
    </row>
    <row r="166" spans="1:8" x14ac:dyDescent="0.2">
      <c r="A166" s="1" t="s">
        <v>219</v>
      </c>
      <c r="C166" s="24">
        <v>10000</v>
      </c>
    </row>
    <row r="167" spans="1:8" x14ac:dyDescent="0.2">
      <c r="A167" s="1" t="s">
        <v>265</v>
      </c>
      <c r="C167" s="24">
        <f>E163</f>
        <v>10000</v>
      </c>
    </row>
    <row r="170" spans="1:8" x14ac:dyDescent="0.2">
      <c r="A170" s="42" t="s">
        <v>202</v>
      </c>
    </row>
    <row r="172" spans="1:8" ht="57" customHeight="1" x14ac:dyDescent="0.2">
      <c r="B172" s="577" t="s">
        <v>221</v>
      </c>
      <c r="C172" s="577"/>
      <c r="D172" s="575" t="s">
        <v>79</v>
      </c>
      <c r="E172" s="578" t="s">
        <v>222</v>
      </c>
      <c r="F172" s="578"/>
      <c r="G172" s="578"/>
      <c r="H172" s="578"/>
    </row>
    <row r="173" spans="1:8" ht="33" customHeight="1" x14ac:dyDescent="0.2">
      <c r="B173" s="579"/>
      <c r="C173" s="579"/>
      <c r="D173" s="576"/>
      <c r="E173" s="50" t="s">
        <v>232</v>
      </c>
      <c r="F173" s="40" t="s">
        <v>29</v>
      </c>
      <c r="G173" s="40" t="s">
        <v>213</v>
      </c>
      <c r="H173" s="40" t="s">
        <v>145</v>
      </c>
    </row>
    <row r="174" spans="1:8" x14ac:dyDescent="0.2">
      <c r="B174" s="46" t="s">
        <v>140</v>
      </c>
      <c r="C174" s="46"/>
      <c r="E174" s="51"/>
      <c r="H174" s="8"/>
    </row>
    <row r="175" spans="1:8" x14ac:dyDescent="0.2">
      <c r="B175" s="47">
        <v>-20000</v>
      </c>
      <c r="C175" s="47"/>
      <c r="E175" s="48"/>
      <c r="G175" s="48"/>
      <c r="H175" s="47">
        <f>B175</f>
        <v>-20000</v>
      </c>
    </row>
    <row r="177" spans="1:9" x14ac:dyDescent="0.2">
      <c r="A177" s="1" t="s">
        <v>273</v>
      </c>
      <c r="C177" s="23">
        <v>20000</v>
      </c>
    </row>
    <row r="178" spans="1:9" x14ac:dyDescent="0.2">
      <c r="A178" s="1" t="s">
        <v>225</v>
      </c>
      <c r="C178" s="23">
        <v>20000</v>
      </c>
    </row>
    <row r="182" spans="1:9" x14ac:dyDescent="0.2">
      <c r="A182" s="53" t="s">
        <v>282</v>
      </c>
      <c r="B182" s="53"/>
      <c r="C182" s="53"/>
      <c r="D182" s="53"/>
      <c r="E182" s="53"/>
      <c r="F182" s="53"/>
      <c r="G182" s="53"/>
      <c r="H182" s="53"/>
      <c r="I182" s="53"/>
    </row>
    <row r="184" spans="1:9" x14ac:dyDescent="0.2">
      <c r="A184" s="2" t="s">
        <v>266</v>
      </c>
    </row>
    <row r="185" spans="1:9" x14ac:dyDescent="0.2">
      <c r="A185" s="2" t="s">
        <v>283</v>
      </c>
    </row>
    <row r="186" spans="1:9" x14ac:dyDescent="0.2">
      <c r="A186" s="2"/>
    </row>
    <row r="188" spans="1:9" x14ac:dyDescent="0.2">
      <c r="B188" s="580" t="s">
        <v>140</v>
      </c>
      <c r="C188" s="580"/>
      <c r="E188" s="580" t="s">
        <v>267</v>
      </c>
      <c r="F188" s="580"/>
      <c r="H188" s="580" t="s">
        <v>268</v>
      </c>
      <c r="I188" s="580"/>
    </row>
    <row r="189" spans="1:9" x14ac:dyDescent="0.2">
      <c r="B189" s="9" t="s">
        <v>162</v>
      </c>
      <c r="C189" s="36" t="s">
        <v>163</v>
      </c>
      <c r="E189" s="36" t="s">
        <v>162</v>
      </c>
      <c r="F189" s="36" t="s">
        <v>163</v>
      </c>
      <c r="H189" s="36" t="s">
        <v>162</v>
      </c>
      <c r="I189" s="36" t="s">
        <v>163</v>
      </c>
    </row>
    <row r="190" spans="1:9" x14ac:dyDescent="0.2">
      <c r="A190" s="54" t="s">
        <v>284</v>
      </c>
      <c r="B190" s="41">
        <v>200000</v>
      </c>
      <c r="C190" s="41">
        <v>7000</v>
      </c>
      <c r="D190" s="1" t="s">
        <v>288</v>
      </c>
      <c r="E190" s="24">
        <f>C190</f>
        <v>7000</v>
      </c>
      <c r="G190" s="54" t="s">
        <v>289</v>
      </c>
      <c r="H190" s="24">
        <v>40000</v>
      </c>
    </row>
    <row r="191" spans="1:9" x14ac:dyDescent="0.2">
      <c r="A191" s="54" t="s">
        <v>285</v>
      </c>
      <c r="B191" s="41">
        <v>70000</v>
      </c>
      <c r="C191" s="41">
        <v>10000</v>
      </c>
      <c r="D191" s="1" t="s">
        <v>289</v>
      </c>
    </row>
    <row r="192" spans="1:9" x14ac:dyDescent="0.2">
      <c r="A192" s="54" t="s">
        <v>286</v>
      </c>
      <c r="B192" s="41">
        <v>44000</v>
      </c>
      <c r="C192" s="41">
        <v>15000</v>
      </c>
      <c r="D192" s="1" t="s">
        <v>290</v>
      </c>
    </row>
    <row r="193" spans="1:9" x14ac:dyDescent="0.2">
      <c r="A193" s="54" t="s">
        <v>287</v>
      </c>
      <c r="B193" s="41">
        <v>10000</v>
      </c>
      <c r="C193" s="41">
        <v>4000</v>
      </c>
      <c r="D193" s="1" t="s">
        <v>291</v>
      </c>
    </row>
    <row r="194" spans="1:9" x14ac:dyDescent="0.2">
      <c r="B194" s="41"/>
      <c r="C194" s="41">
        <v>5000</v>
      </c>
      <c r="D194" s="1" t="s">
        <v>292</v>
      </c>
    </row>
    <row r="195" spans="1:9" x14ac:dyDescent="0.2">
      <c r="B195" s="41"/>
      <c r="C195" s="41">
        <v>20000</v>
      </c>
      <c r="D195" s="1" t="s">
        <v>293</v>
      </c>
    </row>
    <row r="196" spans="1:9" ht="17" thickBot="1" x14ac:dyDescent="0.25">
      <c r="A196" s="1" t="s">
        <v>294</v>
      </c>
      <c r="B196" s="56">
        <f>SUM(B190:B195)</f>
        <v>324000</v>
      </c>
      <c r="C196" s="55">
        <f>SUM(C190:C195)</f>
        <v>61000</v>
      </c>
    </row>
    <row r="197" spans="1:9" ht="19" thickBot="1" x14ac:dyDescent="0.25">
      <c r="A197" s="1" t="s">
        <v>295</v>
      </c>
      <c r="B197" s="57">
        <f>B196-C196</f>
        <v>263000</v>
      </c>
      <c r="C197" s="24"/>
    </row>
    <row r="199" spans="1:9" x14ac:dyDescent="0.2">
      <c r="B199" s="580" t="s">
        <v>29</v>
      </c>
      <c r="C199" s="580"/>
      <c r="E199" s="580" t="s">
        <v>21</v>
      </c>
      <c r="F199" s="580"/>
      <c r="H199" s="580" t="s">
        <v>19</v>
      </c>
      <c r="I199" s="580"/>
    </row>
    <row r="200" spans="1:9" x14ac:dyDescent="0.2">
      <c r="B200" s="36" t="s">
        <v>162</v>
      </c>
      <c r="C200" s="36" t="s">
        <v>163</v>
      </c>
      <c r="E200" s="36" t="s">
        <v>162</v>
      </c>
      <c r="F200" s="36" t="s">
        <v>163</v>
      </c>
      <c r="H200" s="36" t="s">
        <v>162</v>
      </c>
      <c r="I200" s="36" t="s">
        <v>163</v>
      </c>
    </row>
    <row r="201" spans="1:9" x14ac:dyDescent="0.2">
      <c r="C201" s="24">
        <f>B190</f>
        <v>200000</v>
      </c>
      <c r="D201" s="1" t="s">
        <v>284</v>
      </c>
      <c r="F201" s="24">
        <v>30000</v>
      </c>
      <c r="G201" s="1" t="s">
        <v>296</v>
      </c>
      <c r="H201" s="24">
        <v>56000</v>
      </c>
    </row>
    <row r="202" spans="1:9" ht="17" thickBot="1" x14ac:dyDescent="0.25">
      <c r="F202" s="24">
        <v>3000</v>
      </c>
      <c r="G202" s="1" t="s">
        <v>292</v>
      </c>
    </row>
    <row r="203" spans="1:9" ht="19" thickBot="1" x14ac:dyDescent="0.25">
      <c r="F203" s="58">
        <f>F201+F202</f>
        <v>33000</v>
      </c>
      <c r="G203" s="1" t="s">
        <v>295</v>
      </c>
    </row>
    <row r="205" spans="1:9" x14ac:dyDescent="0.2">
      <c r="B205" s="580" t="s">
        <v>276</v>
      </c>
      <c r="C205" s="580"/>
      <c r="E205" s="580" t="s">
        <v>75</v>
      </c>
      <c r="F205" s="580"/>
      <c r="H205" s="580" t="s">
        <v>269</v>
      </c>
      <c r="I205" s="580"/>
    </row>
    <row r="206" spans="1:9" x14ac:dyDescent="0.2">
      <c r="B206" s="36" t="s">
        <v>162</v>
      </c>
      <c r="C206" s="36" t="s">
        <v>163</v>
      </c>
      <c r="E206" s="36" t="s">
        <v>162</v>
      </c>
      <c r="F206" s="36" t="s">
        <v>163</v>
      </c>
      <c r="H206" s="36" t="s">
        <v>162</v>
      </c>
      <c r="I206" s="36" t="s">
        <v>163</v>
      </c>
    </row>
    <row r="207" spans="1:9" x14ac:dyDescent="0.2">
      <c r="C207" s="24">
        <f>B191</f>
        <v>70000</v>
      </c>
      <c r="D207" s="1" t="s">
        <v>285</v>
      </c>
      <c r="F207" s="24">
        <v>100000</v>
      </c>
      <c r="G207" s="1" t="s">
        <v>297</v>
      </c>
      <c r="H207" s="24">
        <v>15000</v>
      </c>
    </row>
    <row r="210" spans="1:9" x14ac:dyDescent="0.2">
      <c r="E210" s="580" t="s">
        <v>270</v>
      </c>
      <c r="F210" s="580"/>
      <c r="H210" s="580" t="s">
        <v>254</v>
      </c>
      <c r="I210" s="580"/>
    </row>
    <row r="211" spans="1:9" x14ac:dyDescent="0.2">
      <c r="E211" s="36" t="s">
        <v>162</v>
      </c>
      <c r="F211" s="36" t="s">
        <v>163</v>
      </c>
      <c r="H211" s="36" t="s">
        <v>162</v>
      </c>
      <c r="I211" s="36" t="s">
        <v>163</v>
      </c>
    </row>
    <row r="212" spans="1:9" x14ac:dyDescent="0.2">
      <c r="D212" s="54" t="s">
        <v>291</v>
      </c>
      <c r="E212" s="24">
        <v>4000</v>
      </c>
      <c r="G212" s="54" t="s">
        <v>292</v>
      </c>
      <c r="H212" s="24">
        <v>8000</v>
      </c>
    </row>
    <row r="216" spans="1:9" x14ac:dyDescent="0.2">
      <c r="E216" s="580" t="s">
        <v>280</v>
      </c>
      <c r="F216" s="580"/>
      <c r="H216" s="580" t="s">
        <v>271</v>
      </c>
      <c r="I216" s="580"/>
    </row>
    <row r="217" spans="1:9" x14ac:dyDescent="0.2">
      <c r="E217" s="36" t="s">
        <v>162</v>
      </c>
      <c r="F217" s="36" t="s">
        <v>163</v>
      </c>
      <c r="H217" s="36" t="s">
        <v>162</v>
      </c>
      <c r="I217" s="36" t="s">
        <v>163</v>
      </c>
    </row>
    <row r="218" spans="1:9" x14ac:dyDescent="0.2">
      <c r="F218" s="24">
        <v>10000</v>
      </c>
      <c r="G218" s="1" t="s">
        <v>298</v>
      </c>
      <c r="H218" s="24">
        <v>20000</v>
      </c>
    </row>
    <row r="221" spans="1:9" x14ac:dyDescent="0.2">
      <c r="A221" s="2" t="s">
        <v>299</v>
      </c>
    </row>
    <row r="222" spans="1:9" x14ac:dyDescent="0.2">
      <c r="A222" s="1" t="s">
        <v>300</v>
      </c>
    </row>
    <row r="223" spans="1:9" x14ac:dyDescent="0.2">
      <c r="A223" s="1" t="s">
        <v>301</v>
      </c>
    </row>
    <row r="224" spans="1:9" x14ac:dyDescent="0.2">
      <c r="C224" s="1" t="s">
        <v>302</v>
      </c>
    </row>
    <row r="225" spans="1:7" x14ac:dyDescent="0.2">
      <c r="C225" s="1" t="s">
        <v>303</v>
      </c>
    </row>
    <row r="227" spans="1:7" x14ac:dyDescent="0.2">
      <c r="A227" s="2" t="s">
        <v>304</v>
      </c>
    </row>
    <row r="228" spans="1:7" ht="17" thickBot="1" x14ac:dyDescent="0.25"/>
    <row r="229" spans="1:7" ht="17" thickBot="1" x14ac:dyDescent="0.25">
      <c r="B229" s="581" t="s">
        <v>305</v>
      </c>
      <c r="C229" s="581"/>
      <c r="D229" s="581" t="s">
        <v>306</v>
      </c>
      <c r="E229" s="581"/>
      <c r="F229" s="582" t="s">
        <v>307</v>
      </c>
      <c r="G229" s="583"/>
    </row>
    <row r="230" spans="1:7" x14ac:dyDescent="0.2">
      <c r="A230" s="67" t="s">
        <v>14</v>
      </c>
      <c r="B230" s="36" t="s">
        <v>162</v>
      </c>
      <c r="C230" s="36" t="s">
        <v>163</v>
      </c>
      <c r="D230" s="36" t="s">
        <v>162</v>
      </c>
      <c r="E230" s="36" t="s">
        <v>163</v>
      </c>
      <c r="F230" s="59" t="s">
        <v>162</v>
      </c>
      <c r="G230" s="60" t="s">
        <v>163</v>
      </c>
    </row>
    <row r="231" spans="1:7" x14ac:dyDescent="0.2">
      <c r="A231" s="68" t="s">
        <v>140</v>
      </c>
      <c r="B231" s="24"/>
      <c r="D231" s="41">
        <v>324000</v>
      </c>
      <c r="E231" s="41">
        <v>61000</v>
      </c>
      <c r="F231" s="61">
        <f>B231+D231-C231-E231</f>
        <v>263000</v>
      </c>
      <c r="G231" s="62"/>
    </row>
    <row r="232" spans="1:7" x14ac:dyDescent="0.2">
      <c r="A232" s="68" t="s">
        <v>274</v>
      </c>
      <c r="D232" s="41">
        <v>7000</v>
      </c>
      <c r="E232" s="6"/>
      <c r="F232" s="61">
        <f>D232</f>
        <v>7000</v>
      </c>
      <c r="G232" s="62"/>
    </row>
    <row r="233" spans="1:7" x14ac:dyDescent="0.2">
      <c r="A233" s="68" t="s">
        <v>268</v>
      </c>
      <c r="D233" s="41">
        <v>40000</v>
      </c>
      <c r="E233" s="6"/>
      <c r="F233" s="61">
        <f>D233</f>
        <v>40000</v>
      </c>
      <c r="G233" s="62"/>
    </row>
    <row r="234" spans="1:7" x14ac:dyDescent="0.2">
      <c r="A234" s="68" t="s">
        <v>29</v>
      </c>
      <c r="D234" s="6"/>
      <c r="E234" s="41">
        <v>200000</v>
      </c>
      <c r="F234" s="63"/>
      <c r="G234" s="64">
        <f>E234</f>
        <v>200000</v>
      </c>
    </row>
    <row r="235" spans="1:7" x14ac:dyDescent="0.2">
      <c r="A235" s="68" t="s">
        <v>21</v>
      </c>
      <c r="D235" s="6"/>
      <c r="E235" s="41">
        <v>33000</v>
      </c>
      <c r="F235" s="63"/>
      <c r="G235" s="64">
        <f>E235</f>
        <v>33000</v>
      </c>
    </row>
    <row r="236" spans="1:7" x14ac:dyDescent="0.2">
      <c r="A236" s="68" t="s">
        <v>19</v>
      </c>
      <c r="D236" s="41">
        <v>56000</v>
      </c>
      <c r="E236" s="6"/>
      <c r="F236" s="61">
        <f>D236</f>
        <v>56000</v>
      </c>
      <c r="G236" s="62"/>
    </row>
    <row r="237" spans="1:7" x14ac:dyDescent="0.2">
      <c r="A237" s="68" t="s">
        <v>275</v>
      </c>
      <c r="D237" s="6"/>
      <c r="E237" s="41">
        <v>70000</v>
      </c>
      <c r="F237" s="63"/>
      <c r="G237" s="64">
        <f>E237</f>
        <v>70000</v>
      </c>
    </row>
    <row r="238" spans="1:7" x14ac:dyDescent="0.2">
      <c r="A238" s="68" t="s">
        <v>75</v>
      </c>
      <c r="D238" s="6"/>
      <c r="E238" s="41">
        <v>100000</v>
      </c>
      <c r="F238" s="63"/>
      <c r="G238" s="64">
        <f>E238</f>
        <v>100000</v>
      </c>
    </row>
    <row r="239" spans="1:7" x14ac:dyDescent="0.2">
      <c r="A239" s="68" t="s">
        <v>277</v>
      </c>
      <c r="D239" s="41">
        <v>15000</v>
      </c>
      <c r="E239" s="6"/>
      <c r="F239" s="61">
        <f>D239</f>
        <v>15000</v>
      </c>
      <c r="G239" s="62"/>
    </row>
    <row r="240" spans="1:7" x14ac:dyDescent="0.2">
      <c r="A240" s="68" t="s">
        <v>278</v>
      </c>
      <c r="D240" s="41">
        <v>4000</v>
      </c>
      <c r="E240" s="6"/>
      <c r="F240" s="61">
        <f>D240</f>
        <v>4000</v>
      </c>
      <c r="G240" s="62"/>
    </row>
    <row r="241" spans="1:7" x14ac:dyDescent="0.2">
      <c r="A241" s="68" t="s">
        <v>254</v>
      </c>
      <c r="D241" s="41">
        <v>8000</v>
      </c>
      <c r="E241" s="6"/>
      <c r="F241" s="61">
        <f>D241</f>
        <v>8000</v>
      </c>
      <c r="G241" s="62"/>
    </row>
    <row r="242" spans="1:7" x14ac:dyDescent="0.2">
      <c r="A242" s="68" t="s">
        <v>279</v>
      </c>
      <c r="D242" s="6"/>
      <c r="E242" s="41">
        <v>10000</v>
      </c>
      <c r="F242" s="63"/>
      <c r="G242" s="64">
        <f>E242</f>
        <v>10000</v>
      </c>
    </row>
    <row r="243" spans="1:7" x14ac:dyDescent="0.2">
      <c r="A243" s="68" t="s">
        <v>271</v>
      </c>
      <c r="D243" s="41">
        <v>20000</v>
      </c>
      <c r="E243" s="6"/>
      <c r="F243" s="61">
        <f>D243</f>
        <v>20000</v>
      </c>
      <c r="G243" s="62"/>
    </row>
    <row r="244" spans="1:7" ht="17" thickBot="1" x14ac:dyDescent="0.25">
      <c r="A244" s="69" t="s">
        <v>281</v>
      </c>
      <c r="B244" s="52"/>
      <c r="C244" s="52"/>
      <c r="D244" s="55">
        <f>SUM(D231:D243)</f>
        <v>474000</v>
      </c>
      <c r="E244" s="55">
        <f>SUM(E231:E243)</f>
        <v>474000</v>
      </c>
      <c r="F244" s="65">
        <f>SUM(F231:F243)</f>
        <v>413000</v>
      </c>
      <c r="G244" s="66">
        <f>SUM(G231:G243)</f>
        <v>413000</v>
      </c>
    </row>
  </sheetData>
  <mergeCells count="46">
    <mergeCell ref="B229:C229"/>
    <mergeCell ref="D229:E229"/>
    <mergeCell ref="F229:G229"/>
    <mergeCell ref="B205:C205"/>
    <mergeCell ref="E205:F205"/>
    <mergeCell ref="H205:I205"/>
    <mergeCell ref="E210:F210"/>
    <mergeCell ref="H210:I210"/>
    <mergeCell ref="E216:F216"/>
    <mergeCell ref="H216:I216"/>
    <mergeCell ref="B188:C188"/>
    <mergeCell ref="E188:F188"/>
    <mergeCell ref="H188:I188"/>
    <mergeCell ref="B199:C199"/>
    <mergeCell ref="E199:F199"/>
    <mergeCell ref="H199:I199"/>
    <mergeCell ref="B160:C161"/>
    <mergeCell ref="D160:D161"/>
    <mergeCell ref="E160:H160"/>
    <mergeCell ref="B172:C173"/>
    <mergeCell ref="D172:D173"/>
    <mergeCell ref="E172:H172"/>
    <mergeCell ref="B123:C124"/>
    <mergeCell ref="D123:D124"/>
    <mergeCell ref="E123:H123"/>
    <mergeCell ref="B141:C142"/>
    <mergeCell ref="D141:D142"/>
    <mergeCell ref="E141:H141"/>
    <mergeCell ref="C81:C82"/>
    <mergeCell ref="D81:D82"/>
    <mergeCell ref="E81:H81"/>
    <mergeCell ref="D104:D105"/>
    <mergeCell ref="E104:H104"/>
    <mergeCell ref="B104:C105"/>
    <mergeCell ref="C52:C53"/>
    <mergeCell ref="D52:D53"/>
    <mergeCell ref="E52:H52"/>
    <mergeCell ref="C62:C63"/>
    <mergeCell ref="D62:D63"/>
    <mergeCell ref="E62:H62"/>
    <mergeCell ref="E33:H33"/>
    <mergeCell ref="E34:H34"/>
    <mergeCell ref="F30:H30"/>
    <mergeCell ref="F40:H40"/>
    <mergeCell ref="C40:C41"/>
    <mergeCell ref="D40:D41"/>
  </mergeCells>
  <hyperlinks>
    <hyperlink ref="H7" r:id="rId1" xr:uid="{B60FFE7C-DEFE-BC4B-B491-7DF49EBF9FE6}"/>
  </hyperlinks>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54D937-4A4A-C84F-8E6B-7B7650A74B14}">
  <dimension ref="A1:K204"/>
  <sheetViews>
    <sheetView rightToLeft="1" topLeftCell="A23" zoomScale="237" zoomScaleNormal="260" workbookViewId="0">
      <selection activeCell="J114" sqref="J114"/>
    </sheetView>
  </sheetViews>
  <sheetFormatPr baseColWidth="10" defaultRowHeight="16" x14ac:dyDescent="0.2"/>
  <cols>
    <col min="1" max="1" width="10.83203125" style="1"/>
    <col min="2" max="3" width="12.33203125" style="1" customWidth="1"/>
    <col min="4" max="4" width="16.5" style="1" customWidth="1"/>
    <col min="5" max="6" width="10.83203125" style="1"/>
    <col min="7" max="7" width="12.5" style="1" customWidth="1"/>
    <col min="8" max="8" width="10.83203125" style="1"/>
    <col min="9" max="9" width="12.1640625" style="1" customWidth="1"/>
    <col min="10" max="16384" width="10.83203125" style="1"/>
  </cols>
  <sheetData>
    <row r="1" spans="1:8" ht="36" x14ac:dyDescent="0.4">
      <c r="A1" s="11" t="s">
        <v>1705</v>
      </c>
      <c r="B1" s="3"/>
      <c r="C1" s="3"/>
      <c r="D1" s="3"/>
      <c r="E1" s="3"/>
      <c r="F1" s="3"/>
      <c r="G1" s="3"/>
      <c r="H1" s="249">
        <v>45621</v>
      </c>
    </row>
    <row r="2" spans="1:8" x14ac:dyDescent="0.2">
      <c r="A2" s="79" t="s">
        <v>1719</v>
      </c>
      <c r="B2" s="79"/>
      <c r="C2" s="79"/>
      <c r="D2" s="79"/>
      <c r="E2" s="281" t="s">
        <v>1718</v>
      </c>
      <c r="F2" s="79"/>
      <c r="G2" s="79"/>
      <c r="H2" s="79"/>
    </row>
    <row r="3" spans="1:8" ht="21" x14ac:dyDescent="0.25">
      <c r="A3" s="427" t="s">
        <v>2437</v>
      </c>
      <c r="B3" s="79"/>
      <c r="C3" s="79"/>
      <c r="D3" s="79"/>
      <c r="E3" s="281"/>
      <c r="F3" s="79"/>
      <c r="G3" s="79"/>
      <c r="H3" s="79"/>
    </row>
    <row r="4" spans="1:8" x14ac:dyDescent="0.2">
      <c r="A4" s="2" t="s">
        <v>308</v>
      </c>
    </row>
    <row r="5" spans="1:8" x14ac:dyDescent="0.2">
      <c r="A5" s="1" t="s">
        <v>309</v>
      </c>
    </row>
    <row r="6" spans="1:8" x14ac:dyDescent="0.2">
      <c r="A6" s="1" t="s">
        <v>310</v>
      </c>
    </row>
    <row r="7" spans="1:8" x14ac:dyDescent="0.2">
      <c r="A7" s="1" t="s">
        <v>311</v>
      </c>
    </row>
    <row r="8" spans="1:8" x14ac:dyDescent="0.2">
      <c r="A8" s="1" t="s">
        <v>312</v>
      </c>
    </row>
    <row r="10" spans="1:8" x14ac:dyDescent="0.2">
      <c r="A10" s="2" t="s">
        <v>2438</v>
      </c>
    </row>
    <row r="11" spans="1:8" x14ac:dyDescent="0.2">
      <c r="A11" s="1" t="s">
        <v>2439</v>
      </c>
    </row>
    <row r="12" spans="1:8" x14ac:dyDescent="0.2">
      <c r="A12" s="1" t="s">
        <v>313</v>
      </c>
    </row>
    <row r="13" spans="1:8" x14ac:dyDescent="0.2">
      <c r="A13" s="1" t="s">
        <v>314</v>
      </c>
    </row>
    <row r="14" spans="1:8" x14ac:dyDescent="0.2">
      <c r="A14" s="1" t="s">
        <v>315</v>
      </c>
    </row>
    <row r="16" spans="1:8" x14ac:dyDescent="0.2">
      <c r="A16" s="2" t="s">
        <v>316</v>
      </c>
    </row>
    <row r="18" spans="1:8" x14ac:dyDescent="0.2">
      <c r="A18" s="34" t="s">
        <v>317</v>
      </c>
      <c r="B18" s="33"/>
      <c r="C18" s="33"/>
      <c r="D18" s="33"/>
      <c r="E18" s="33"/>
      <c r="F18" s="33"/>
      <c r="G18" s="33"/>
      <c r="H18" s="33"/>
    </row>
    <row r="19" spans="1:8" x14ac:dyDescent="0.2">
      <c r="A19" s="1" t="s">
        <v>3032</v>
      </c>
    </row>
    <row r="20" spans="1:8" x14ac:dyDescent="0.2">
      <c r="A20" s="1" t="s">
        <v>318</v>
      </c>
    </row>
    <row r="22" spans="1:8" x14ac:dyDescent="0.2">
      <c r="B22" s="1" t="s">
        <v>323</v>
      </c>
      <c r="C22" s="3" t="s">
        <v>321</v>
      </c>
      <c r="D22" s="5" t="s">
        <v>319</v>
      </c>
    </row>
    <row r="23" spans="1:8" x14ac:dyDescent="0.2">
      <c r="B23" s="1" t="s">
        <v>324</v>
      </c>
      <c r="C23" s="3" t="s">
        <v>322</v>
      </c>
      <c r="D23" s="5" t="s">
        <v>320</v>
      </c>
    </row>
    <row r="24" spans="1:8" x14ac:dyDescent="0.2">
      <c r="B24" s="25" t="s">
        <v>325</v>
      </c>
      <c r="C24" s="73" t="s">
        <v>326</v>
      </c>
      <c r="D24" s="71" t="s">
        <v>326</v>
      </c>
    </row>
    <row r="25" spans="1:8" x14ac:dyDescent="0.2">
      <c r="B25" s="1">
        <v>2016</v>
      </c>
      <c r="C25" s="75">
        <v>0</v>
      </c>
      <c r="D25" s="242">
        <v>100</v>
      </c>
    </row>
    <row r="26" spans="1:8" x14ac:dyDescent="0.2">
      <c r="B26" s="1">
        <v>2017</v>
      </c>
      <c r="C26" s="75">
        <v>420</v>
      </c>
      <c r="D26" s="242">
        <v>200</v>
      </c>
    </row>
    <row r="27" spans="1:8" x14ac:dyDescent="0.2">
      <c r="B27" s="1">
        <v>2018</v>
      </c>
      <c r="C27" s="75">
        <v>80</v>
      </c>
      <c r="D27" s="242">
        <v>150</v>
      </c>
    </row>
    <row r="28" spans="1:8" x14ac:dyDescent="0.2">
      <c r="B28" s="1">
        <v>2019</v>
      </c>
      <c r="C28" s="75">
        <v>300</v>
      </c>
      <c r="D28" s="242">
        <v>300</v>
      </c>
    </row>
    <row r="29" spans="1:8" x14ac:dyDescent="0.2">
      <c r="B29" s="1">
        <v>2020</v>
      </c>
      <c r="C29" s="75">
        <v>50</v>
      </c>
      <c r="D29" s="242">
        <v>100</v>
      </c>
    </row>
    <row r="30" spans="1:8" x14ac:dyDescent="0.2">
      <c r="B30" s="1" t="s">
        <v>281</v>
      </c>
      <c r="C30" s="280">
        <f>SUM(C25:C29)</f>
        <v>850</v>
      </c>
      <c r="D30" s="279">
        <f>SUM(D25:D29)</f>
        <v>850</v>
      </c>
    </row>
    <row r="32" spans="1:8" x14ac:dyDescent="0.2">
      <c r="A32" s="1" t="s">
        <v>327</v>
      </c>
    </row>
    <row r="34" spans="1:11" x14ac:dyDescent="0.2">
      <c r="A34" s="498" t="s">
        <v>3060</v>
      </c>
    </row>
    <row r="35" spans="1:11" x14ac:dyDescent="0.2">
      <c r="B35" s="2" t="s">
        <v>798</v>
      </c>
      <c r="C35" s="2" t="s">
        <v>799</v>
      </c>
      <c r="D35" s="2" t="s">
        <v>801</v>
      </c>
      <c r="F35" s="2" t="s">
        <v>800</v>
      </c>
      <c r="I35" s="1" t="s">
        <v>3057</v>
      </c>
    </row>
    <row r="36" spans="1:11" x14ac:dyDescent="0.2">
      <c r="B36" s="75" t="s">
        <v>3033</v>
      </c>
      <c r="C36" s="5" t="s">
        <v>3037</v>
      </c>
      <c r="D36" s="13" t="s">
        <v>3049</v>
      </c>
      <c r="E36" s="13"/>
      <c r="F36" s="77" t="s">
        <v>3053</v>
      </c>
      <c r="G36" s="77"/>
      <c r="I36" s="13" t="s">
        <v>3058</v>
      </c>
      <c r="J36" s="13"/>
      <c r="K36" s="13"/>
    </row>
    <row r="37" spans="1:11" x14ac:dyDescent="0.2">
      <c r="B37" s="75" t="s">
        <v>3034</v>
      </c>
      <c r="C37" s="5" t="s">
        <v>3034</v>
      </c>
      <c r="D37" s="1" t="s">
        <v>3054</v>
      </c>
      <c r="E37" s="13"/>
      <c r="F37" s="77" t="s">
        <v>3043</v>
      </c>
      <c r="G37" s="77"/>
      <c r="I37" s="13" t="s">
        <v>3059</v>
      </c>
      <c r="J37" s="13"/>
      <c r="K37" s="13"/>
    </row>
    <row r="38" spans="1:11" x14ac:dyDescent="0.2">
      <c r="B38" s="75" t="s">
        <v>3035</v>
      </c>
      <c r="C38" s="5" t="s">
        <v>3038</v>
      </c>
      <c r="D38" s="13" t="s">
        <v>3050</v>
      </c>
      <c r="E38" s="13"/>
      <c r="F38" s="84" t="s">
        <v>3044</v>
      </c>
      <c r="G38" s="77"/>
      <c r="I38" s="13"/>
      <c r="J38" s="13"/>
      <c r="K38" s="13"/>
    </row>
    <row r="39" spans="1:11" x14ac:dyDescent="0.2">
      <c r="B39" s="75" t="s">
        <v>3036</v>
      </c>
      <c r="C39" s="5" t="s">
        <v>3039</v>
      </c>
      <c r="D39" s="13" t="s">
        <v>3051</v>
      </c>
      <c r="E39" s="13"/>
      <c r="F39" s="77" t="s">
        <v>3045</v>
      </c>
      <c r="G39" s="77"/>
      <c r="I39" s="13"/>
      <c r="J39" s="13"/>
      <c r="K39" s="13"/>
    </row>
    <row r="40" spans="1:11" x14ac:dyDescent="0.2">
      <c r="A40" s="25" t="s">
        <v>328</v>
      </c>
      <c r="B40" s="76" t="s">
        <v>333</v>
      </c>
      <c r="C40" s="71" t="s">
        <v>3040</v>
      </c>
      <c r="D40" s="70"/>
      <c r="E40" s="70"/>
      <c r="F40" s="78" t="s">
        <v>3046</v>
      </c>
      <c r="G40" s="78"/>
      <c r="I40" s="13"/>
      <c r="J40" s="13"/>
      <c r="K40" s="13"/>
    </row>
    <row r="41" spans="1:11" ht="35" customHeight="1" x14ac:dyDescent="0.2">
      <c r="A41" s="1">
        <v>2016</v>
      </c>
      <c r="B41" s="276" t="s">
        <v>1716</v>
      </c>
      <c r="C41" s="242">
        <v>100</v>
      </c>
      <c r="D41" s="80" t="s">
        <v>3052</v>
      </c>
      <c r="E41" s="13"/>
      <c r="F41" s="77" t="s">
        <v>3041</v>
      </c>
      <c r="G41" s="77">
        <v>100</v>
      </c>
      <c r="I41" s="13"/>
      <c r="J41" s="13"/>
      <c r="K41" s="13"/>
    </row>
    <row r="42" spans="1:11" ht="49" customHeight="1" x14ac:dyDescent="0.2">
      <c r="A42" s="1">
        <v>2017</v>
      </c>
      <c r="B42" s="276">
        <v>420</v>
      </c>
      <c r="C42" s="242">
        <v>200</v>
      </c>
      <c r="D42" s="80" t="s">
        <v>3055</v>
      </c>
      <c r="F42" s="77" t="s">
        <v>3042</v>
      </c>
      <c r="G42" s="77">
        <v>220</v>
      </c>
    </row>
    <row r="43" spans="1:11" ht="17" x14ac:dyDescent="0.2">
      <c r="A43" s="1">
        <v>2018</v>
      </c>
      <c r="B43" s="276">
        <v>80</v>
      </c>
      <c r="C43" s="242">
        <v>150</v>
      </c>
      <c r="D43" s="80" t="s">
        <v>3056</v>
      </c>
      <c r="F43" s="77" t="s">
        <v>3041</v>
      </c>
      <c r="G43" s="77">
        <v>70</v>
      </c>
    </row>
    <row r="44" spans="1:11" ht="17" x14ac:dyDescent="0.2">
      <c r="A44" s="1">
        <v>2019</v>
      </c>
      <c r="B44" s="276">
        <v>300</v>
      </c>
      <c r="C44" s="242">
        <v>300</v>
      </c>
      <c r="D44" s="80" t="s">
        <v>3056</v>
      </c>
      <c r="F44" s="77" t="s">
        <v>3047</v>
      </c>
      <c r="G44" s="77"/>
    </row>
    <row r="45" spans="1:11" x14ac:dyDescent="0.2">
      <c r="A45" s="1">
        <v>2020</v>
      </c>
      <c r="B45" s="276">
        <v>50</v>
      </c>
      <c r="C45" s="242">
        <v>100</v>
      </c>
      <c r="D45" s="80">
        <v>0</v>
      </c>
      <c r="F45" s="77" t="s">
        <v>3048</v>
      </c>
      <c r="G45" s="77">
        <v>50</v>
      </c>
    </row>
    <row r="46" spans="1:11" x14ac:dyDescent="0.2">
      <c r="C46" s="13"/>
    </row>
    <row r="47" spans="1:11" x14ac:dyDescent="0.2">
      <c r="A47" s="498" t="s">
        <v>3061</v>
      </c>
      <c r="C47" s="13"/>
    </row>
    <row r="48" spans="1:11" x14ac:dyDescent="0.2">
      <c r="B48" s="2" t="s">
        <v>798</v>
      </c>
      <c r="C48" s="2" t="s">
        <v>799</v>
      </c>
      <c r="D48" s="2" t="s">
        <v>801</v>
      </c>
      <c r="F48" s="2" t="s">
        <v>800</v>
      </c>
    </row>
    <row r="49" spans="1:7" x14ac:dyDescent="0.2">
      <c r="B49" s="75" t="s">
        <v>3033</v>
      </c>
      <c r="C49" s="5" t="s">
        <v>3037</v>
      </c>
      <c r="D49" s="13" t="s">
        <v>3049</v>
      </c>
      <c r="E49" s="13"/>
      <c r="F49" s="77" t="s">
        <v>3053</v>
      </c>
      <c r="G49" s="77"/>
    </row>
    <row r="50" spans="1:7" x14ac:dyDescent="0.2">
      <c r="B50" s="75" t="s">
        <v>3067</v>
      </c>
      <c r="C50" s="5" t="s">
        <v>3034</v>
      </c>
      <c r="D50" s="1" t="s">
        <v>3054</v>
      </c>
      <c r="E50" s="13"/>
      <c r="F50" s="77" t="s">
        <v>3043</v>
      </c>
      <c r="G50" s="77"/>
    </row>
    <row r="51" spans="1:7" x14ac:dyDescent="0.2">
      <c r="B51" s="75" t="s">
        <v>3035</v>
      </c>
      <c r="C51" s="5" t="s">
        <v>3038</v>
      </c>
      <c r="D51" s="13" t="s">
        <v>3050</v>
      </c>
      <c r="E51" s="13"/>
      <c r="F51" s="84" t="s">
        <v>3044</v>
      </c>
      <c r="G51" s="77"/>
    </row>
    <row r="52" spans="1:7" x14ac:dyDescent="0.2">
      <c r="B52" s="75" t="s">
        <v>3036</v>
      </c>
      <c r="C52" s="5" t="s">
        <v>3039</v>
      </c>
      <c r="D52" s="13" t="s">
        <v>3051</v>
      </c>
      <c r="E52" s="13"/>
      <c r="F52" s="77" t="s">
        <v>3045</v>
      </c>
      <c r="G52" s="77"/>
    </row>
    <row r="53" spans="1:7" ht="17" thickBot="1" x14ac:dyDescent="0.25">
      <c r="A53" s="1" t="s">
        <v>328</v>
      </c>
      <c r="B53" s="75" t="s">
        <v>333</v>
      </c>
      <c r="C53" s="5" t="s">
        <v>3040</v>
      </c>
      <c r="D53" s="13"/>
      <c r="E53" s="13"/>
      <c r="F53" s="77" t="s">
        <v>3046</v>
      </c>
      <c r="G53" s="77"/>
    </row>
    <row r="54" spans="1:7" ht="34" customHeight="1" thickBot="1" x14ac:dyDescent="0.25">
      <c r="A54" s="146">
        <v>2016</v>
      </c>
      <c r="B54" s="511" t="s">
        <v>3062</v>
      </c>
      <c r="C54" s="512">
        <v>100</v>
      </c>
      <c r="D54" s="589" t="s">
        <v>346</v>
      </c>
      <c r="E54" s="589"/>
      <c r="F54" s="587" t="s">
        <v>3068</v>
      </c>
      <c r="G54" s="588"/>
    </row>
    <row r="55" spans="1:7" ht="52" customHeight="1" thickBot="1" x14ac:dyDescent="0.25">
      <c r="A55" s="146">
        <v>2017</v>
      </c>
      <c r="B55" s="513" t="s">
        <v>3063</v>
      </c>
      <c r="C55" s="512">
        <v>200</v>
      </c>
      <c r="D55" s="589" t="s">
        <v>347</v>
      </c>
      <c r="E55" s="589"/>
      <c r="F55" s="587" t="s">
        <v>3069</v>
      </c>
      <c r="G55" s="588"/>
    </row>
    <row r="56" spans="1:7" ht="36" customHeight="1" thickBot="1" x14ac:dyDescent="0.25">
      <c r="A56" s="146">
        <v>2018</v>
      </c>
      <c r="B56" s="513" t="s">
        <v>3064</v>
      </c>
      <c r="C56" s="512">
        <v>150</v>
      </c>
      <c r="D56" s="589" t="s">
        <v>348</v>
      </c>
      <c r="E56" s="589"/>
      <c r="F56" s="587" t="s">
        <v>3070</v>
      </c>
      <c r="G56" s="588"/>
    </row>
    <row r="57" spans="1:7" ht="34" x14ac:dyDescent="0.2">
      <c r="A57" s="1">
        <v>2019</v>
      </c>
      <c r="B57" s="276" t="s">
        <v>3065</v>
      </c>
      <c r="C57" s="242">
        <v>300</v>
      </c>
      <c r="D57" s="584" t="s">
        <v>348</v>
      </c>
      <c r="E57" s="584"/>
      <c r="F57" s="510"/>
      <c r="G57" s="510"/>
    </row>
    <row r="58" spans="1:7" ht="39" customHeight="1" x14ac:dyDescent="0.2">
      <c r="A58" s="1">
        <v>2020</v>
      </c>
      <c r="B58" s="276" t="s">
        <v>3066</v>
      </c>
      <c r="C58" s="242">
        <v>100</v>
      </c>
      <c r="D58" s="585"/>
      <c r="E58" s="585"/>
      <c r="F58" s="586" t="s">
        <v>3071</v>
      </c>
      <c r="G58" s="586"/>
    </row>
    <row r="59" spans="1:7" x14ac:dyDescent="0.2">
      <c r="C59" s="13"/>
    </row>
    <row r="60" spans="1:7" x14ac:dyDescent="0.2">
      <c r="A60" s="1" t="s">
        <v>355</v>
      </c>
    </row>
    <row r="61" spans="1:7" x14ac:dyDescent="0.2">
      <c r="A61" s="1" t="s">
        <v>356</v>
      </c>
    </row>
    <row r="62" spans="1:7" x14ac:dyDescent="0.2">
      <c r="A62" s="1" t="s">
        <v>357</v>
      </c>
    </row>
    <row r="63" spans="1:7" x14ac:dyDescent="0.2">
      <c r="A63" s="1" t="s">
        <v>358</v>
      </c>
    </row>
    <row r="64" spans="1:7" x14ac:dyDescent="0.2">
      <c r="A64" s="1" t="s">
        <v>359</v>
      </c>
    </row>
    <row r="65" spans="1:9" x14ac:dyDescent="0.2">
      <c r="A65" s="1" t="s">
        <v>360</v>
      </c>
    </row>
    <row r="66" spans="1:9" x14ac:dyDescent="0.2">
      <c r="A66" s="1" t="s">
        <v>3072</v>
      </c>
    </row>
    <row r="67" spans="1:9" x14ac:dyDescent="0.2">
      <c r="A67" s="1" t="s">
        <v>3073</v>
      </c>
    </row>
    <row r="68" spans="1:9" x14ac:dyDescent="0.2">
      <c r="A68" s="1" t="s">
        <v>3074</v>
      </c>
    </row>
    <row r="69" spans="1:9" x14ac:dyDescent="0.2">
      <c r="A69" s="1" t="s">
        <v>361</v>
      </c>
    </row>
    <row r="70" spans="1:9" x14ac:dyDescent="0.2">
      <c r="A70" s="1" t="s">
        <v>362</v>
      </c>
    </row>
    <row r="71" spans="1:9" x14ac:dyDescent="0.2">
      <c r="A71" s="1" t="s">
        <v>363</v>
      </c>
    </row>
    <row r="73" spans="1:9" x14ac:dyDescent="0.2">
      <c r="A73" s="426" t="s">
        <v>2450</v>
      </c>
      <c r="B73" s="79"/>
      <c r="C73" s="79"/>
      <c r="D73" s="79"/>
      <c r="E73" s="79"/>
      <c r="F73" s="79"/>
      <c r="G73" s="79"/>
      <c r="H73" s="79"/>
    </row>
    <row r="74" spans="1:9" ht="17" thickBot="1" x14ac:dyDescent="0.25"/>
    <row r="75" spans="1:9" x14ac:dyDescent="0.2">
      <c r="A75" s="18" t="s">
        <v>328</v>
      </c>
      <c r="B75" s="428" t="s">
        <v>2441</v>
      </c>
      <c r="C75" s="428" t="s">
        <v>2440</v>
      </c>
      <c r="D75" s="18" t="s">
        <v>3075</v>
      </c>
      <c r="E75" s="100"/>
      <c r="F75" s="19"/>
      <c r="G75" s="100" t="s">
        <v>1741</v>
      </c>
      <c r="H75" s="100"/>
      <c r="I75" s="19"/>
    </row>
    <row r="76" spans="1:9" x14ac:dyDescent="0.2">
      <c r="A76" s="106"/>
      <c r="B76" s="68" t="s">
        <v>2442</v>
      </c>
      <c r="C76" s="68" t="s">
        <v>2445</v>
      </c>
      <c r="D76" s="106"/>
      <c r="F76" s="107"/>
      <c r="I76" s="107"/>
    </row>
    <row r="77" spans="1:9" ht="17" thickBot="1" x14ac:dyDescent="0.25">
      <c r="A77" s="20"/>
      <c r="B77" s="69" t="s">
        <v>2451</v>
      </c>
      <c r="C77" s="69" t="s">
        <v>2452</v>
      </c>
      <c r="D77" s="201" t="s">
        <v>2453</v>
      </c>
      <c r="E77" s="103"/>
      <c r="F77" s="21"/>
      <c r="G77" s="202" t="s">
        <v>2454</v>
      </c>
      <c r="H77" s="103"/>
      <c r="I77" s="21"/>
    </row>
    <row r="78" spans="1:9" x14ac:dyDescent="0.2">
      <c r="A78" s="106"/>
      <c r="B78" s="68"/>
      <c r="C78" s="68"/>
      <c r="D78" s="106"/>
      <c r="F78" s="107"/>
      <c r="I78" s="107"/>
    </row>
    <row r="79" spans="1:9" x14ac:dyDescent="0.2">
      <c r="A79" s="106"/>
      <c r="B79" s="68" t="s">
        <v>1720</v>
      </c>
      <c r="C79" s="68" t="s">
        <v>15</v>
      </c>
      <c r="D79" s="106" t="s">
        <v>2448</v>
      </c>
      <c r="F79" s="107"/>
      <c r="G79" s="1" t="s">
        <v>2447</v>
      </c>
      <c r="I79" s="107"/>
    </row>
    <row r="80" spans="1:9" x14ac:dyDescent="0.2">
      <c r="A80" s="106"/>
      <c r="B80" s="68" t="s">
        <v>1721</v>
      </c>
      <c r="C80" s="68" t="s">
        <v>2446</v>
      </c>
      <c r="D80" s="106" t="s">
        <v>2449</v>
      </c>
      <c r="F80" s="107"/>
      <c r="G80" s="1" t="s">
        <v>3084</v>
      </c>
      <c r="I80" s="107"/>
    </row>
    <row r="81" spans="1:9" x14ac:dyDescent="0.2">
      <c r="A81" s="106"/>
      <c r="B81" s="68" t="s">
        <v>2443</v>
      </c>
      <c r="C81" s="68" t="s">
        <v>319</v>
      </c>
      <c r="D81" s="106"/>
      <c r="F81" s="107"/>
      <c r="G81" s="1" t="s">
        <v>3076</v>
      </c>
      <c r="I81" s="107"/>
    </row>
    <row r="82" spans="1:9" x14ac:dyDescent="0.2">
      <c r="A82" s="106"/>
      <c r="B82" s="68" t="s">
        <v>2444</v>
      </c>
      <c r="C82" s="68"/>
      <c r="D82" s="106" t="s">
        <v>3080</v>
      </c>
      <c r="F82" s="107"/>
      <c r="G82" s="1" t="s">
        <v>3077</v>
      </c>
      <c r="I82" s="107"/>
    </row>
    <row r="83" spans="1:9" x14ac:dyDescent="0.2">
      <c r="A83" s="106"/>
      <c r="B83" s="68"/>
      <c r="C83" s="68"/>
      <c r="D83" s="106" t="s">
        <v>3081</v>
      </c>
      <c r="F83" s="107"/>
      <c r="G83" s="1" t="s">
        <v>3078</v>
      </c>
      <c r="I83" s="107"/>
    </row>
    <row r="84" spans="1:9" x14ac:dyDescent="0.2">
      <c r="A84" s="106"/>
      <c r="B84" s="68"/>
      <c r="C84" s="68"/>
      <c r="D84" s="106" t="s">
        <v>3082</v>
      </c>
      <c r="F84" s="107"/>
      <c r="G84" s="1" t="s">
        <v>3079</v>
      </c>
      <c r="I84" s="107"/>
    </row>
    <row r="85" spans="1:9" ht="17" thickBot="1" x14ac:dyDescent="0.25">
      <c r="A85" s="20"/>
      <c r="B85" s="69"/>
      <c r="C85" s="69"/>
      <c r="D85" s="20" t="s">
        <v>3083</v>
      </c>
      <c r="E85" s="103"/>
      <c r="F85" s="21"/>
      <c r="G85" s="103" t="s">
        <v>3096</v>
      </c>
      <c r="H85" s="103"/>
      <c r="I85" s="21"/>
    </row>
    <row r="87" spans="1:9" x14ac:dyDescent="0.2">
      <c r="A87" s="34" t="s">
        <v>350</v>
      </c>
      <c r="B87" s="33"/>
      <c r="C87" s="33"/>
      <c r="D87" s="33"/>
      <c r="E87" s="33"/>
      <c r="F87" s="33"/>
      <c r="G87" s="33"/>
      <c r="H87" s="33"/>
    </row>
    <row r="88" spans="1:9" x14ac:dyDescent="0.2">
      <c r="A88" s="1" t="s">
        <v>351</v>
      </c>
    </row>
    <row r="89" spans="1:9" x14ac:dyDescent="0.2">
      <c r="A89" s="1" t="s">
        <v>352</v>
      </c>
    </row>
    <row r="91" spans="1:9" x14ac:dyDescent="0.2">
      <c r="B91" s="2" t="s">
        <v>323</v>
      </c>
      <c r="C91" s="7" t="s">
        <v>321</v>
      </c>
      <c r="D91" s="4" t="s">
        <v>319</v>
      </c>
    </row>
    <row r="92" spans="1:9" x14ac:dyDescent="0.2">
      <c r="B92" s="2" t="s">
        <v>324</v>
      </c>
      <c r="C92" s="7" t="s">
        <v>354</v>
      </c>
      <c r="D92" s="4" t="s">
        <v>353</v>
      </c>
    </row>
    <row r="93" spans="1:9" x14ac:dyDescent="0.2">
      <c r="B93" s="81" t="s">
        <v>325</v>
      </c>
      <c r="C93" s="83" t="s">
        <v>326</v>
      </c>
      <c r="D93" s="82" t="s">
        <v>326</v>
      </c>
    </row>
    <row r="94" spans="1:9" x14ac:dyDescent="0.2">
      <c r="B94" s="1">
        <v>2016</v>
      </c>
      <c r="C94" s="3">
        <v>15</v>
      </c>
      <c r="D94" s="5">
        <v>9</v>
      </c>
    </row>
    <row r="95" spans="1:9" x14ac:dyDescent="0.2">
      <c r="B95" s="1">
        <v>2017</v>
      </c>
      <c r="C95" s="3">
        <v>7</v>
      </c>
      <c r="D95" s="5">
        <v>8</v>
      </c>
    </row>
    <row r="96" spans="1:9" x14ac:dyDescent="0.2">
      <c r="B96" s="1">
        <v>2018</v>
      </c>
      <c r="C96" s="3">
        <v>40</v>
      </c>
      <c r="D96" s="5">
        <v>20</v>
      </c>
    </row>
    <row r="97" spans="1:9" x14ac:dyDescent="0.2">
      <c r="B97" s="1">
        <v>2019</v>
      </c>
      <c r="C97" s="3">
        <v>5</v>
      </c>
      <c r="D97" s="5">
        <v>40</v>
      </c>
    </row>
    <row r="98" spans="1:9" x14ac:dyDescent="0.2">
      <c r="B98" s="1">
        <v>2020</v>
      </c>
      <c r="C98" s="3">
        <v>15</v>
      </c>
      <c r="D98" s="5">
        <v>5</v>
      </c>
    </row>
    <row r="99" spans="1:9" x14ac:dyDescent="0.2">
      <c r="B99" s="1" t="s">
        <v>281</v>
      </c>
      <c r="C99" s="74">
        <f>SUM(C94:C98)</f>
        <v>82</v>
      </c>
      <c r="D99" s="72">
        <f>SUM(D94:D98)</f>
        <v>82</v>
      </c>
    </row>
    <row r="100" spans="1:9" ht="17" thickBot="1" x14ac:dyDescent="0.25"/>
    <row r="101" spans="1:9" x14ac:dyDescent="0.2">
      <c r="A101" s="18" t="s">
        <v>328</v>
      </c>
      <c r="B101" s="428" t="s">
        <v>2441</v>
      </c>
      <c r="C101" s="428" t="s">
        <v>2440</v>
      </c>
      <c r="D101" s="18" t="s">
        <v>3075</v>
      </c>
      <c r="E101" s="100"/>
      <c r="F101" s="19"/>
      <c r="G101" s="100" t="s">
        <v>1741</v>
      </c>
      <c r="H101" s="100"/>
      <c r="I101" s="19"/>
    </row>
    <row r="102" spans="1:9" x14ac:dyDescent="0.2">
      <c r="A102" s="106"/>
      <c r="B102" s="68" t="s">
        <v>2442</v>
      </c>
      <c r="C102" s="68" t="s">
        <v>2445</v>
      </c>
      <c r="D102" s="106"/>
      <c r="F102" s="107"/>
      <c r="I102" s="107"/>
    </row>
    <row r="103" spans="1:9" ht="17" thickBot="1" x14ac:dyDescent="0.25">
      <c r="A103" s="20"/>
      <c r="B103" s="69" t="s">
        <v>2451</v>
      </c>
      <c r="C103" s="69" t="s">
        <v>2452</v>
      </c>
      <c r="D103" s="201" t="s">
        <v>2453</v>
      </c>
      <c r="E103" s="103"/>
      <c r="F103" s="21"/>
      <c r="G103" s="202" t="s">
        <v>2454</v>
      </c>
      <c r="H103" s="103"/>
      <c r="I103" s="21"/>
    </row>
    <row r="104" spans="1:9" x14ac:dyDescent="0.2">
      <c r="A104" s="106"/>
      <c r="B104" s="68"/>
      <c r="C104" s="68"/>
      <c r="D104" s="106"/>
      <c r="F104" s="107"/>
      <c r="I104" s="107"/>
    </row>
    <row r="105" spans="1:9" x14ac:dyDescent="0.2">
      <c r="A105" s="106"/>
      <c r="B105" s="68" t="s">
        <v>1720</v>
      </c>
      <c r="C105" s="68" t="s">
        <v>15</v>
      </c>
      <c r="D105" s="106" t="s">
        <v>2448</v>
      </c>
      <c r="F105" s="107"/>
      <c r="G105" s="1" t="s">
        <v>2447</v>
      </c>
      <c r="I105" s="107"/>
    </row>
    <row r="106" spans="1:9" x14ac:dyDescent="0.2">
      <c r="A106" s="106"/>
      <c r="B106" s="68" t="s">
        <v>1721</v>
      </c>
      <c r="C106" s="68" t="s">
        <v>2446</v>
      </c>
      <c r="D106" s="106" t="s">
        <v>2449</v>
      </c>
      <c r="F106" s="107"/>
      <c r="G106" s="1" t="s">
        <v>3084</v>
      </c>
      <c r="I106" s="107"/>
    </row>
    <row r="107" spans="1:9" x14ac:dyDescent="0.2">
      <c r="A107" s="106"/>
      <c r="B107" s="68" t="s">
        <v>2443</v>
      </c>
      <c r="C107" s="68" t="s">
        <v>319</v>
      </c>
      <c r="D107" s="106"/>
      <c r="F107" s="107"/>
      <c r="G107" s="1" t="s">
        <v>3076</v>
      </c>
      <c r="I107" s="107"/>
    </row>
    <row r="108" spans="1:9" x14ac:dyDescent="0.2">
      <c r="A108" s="106"/>
      <c r="B108" s="68" t="s">
        <v>2444</v>
      </c>
      <c r="C108" s="68"/>
      <c r="D108" s="106" t="s">
        <v>3080</v>
      </c>
      <c r="F108" s="107"/>
      <c r="G108" s="1" t="s">
        <v>3077</v>
      </c>
      <c r="I108" s="107"/>
    </row>
    <row r="109" spans="1:9" x14ac:dyDescent="0.2">
      <c r="A109" s="106"/>
      <c r="B109" s="68"/>
      <c r="C109" s="68"/>
      <c r="D109" s="106" t="s">
        <v>3081</v>
      </c>
      <c r="F109" s="107"/>
      <c r="G109" s="1" t="s">
        <v>3078</v>
      </c>
      <c r="I109" s="107"/>
    </row>
    <row r="110" spans="1:9" x14ac:dyDescent="0.2">
      <c r="A110" s="106"/>
      <c r="B110" s="68"/>
      <c r="C110" s="68"/>
      <c r="D110" s="106" t="s">
        <v>3082</v>
      </c>
      <c r="F110" s="107"/>
      <c r="G110" s="1" t="s">
        <v>3079</v>
      </c>
      <c r="I110" s="107"/>
    </row>
    <row r="111" spans="1:9" ht="17" thickBot="1" x14ac:dyDescent="0.25">
      <c r="A111" s="20"/>
      <c r="B111" s="69"/>
      <c r="C111" s="69"/>
      <c r="D111" s="20" t="s">
        <v>3083</v>
      </c>
      <c r="E111" s="103"/>
      <c r="F111" s="21"/>
      <c r="G111" s="103" t="s">
        <v>3096</v>
      </c>
      <c r="H111" s="103"/>
      <c r="I111" s="21"/>
    </row>
    <row r="112" spans="1:9" ht="33" customHeight="1" thickBot="1" x14ac:dyDescent="0.25">
      <c r="A112" s="428">
        <v>2016</v>
      </c>
      <c r="B112" s="514" t="s">
        <v>3085</v>
      </c>
      <c r="C112" s="515">
        <v>9</v>
      </c>
      <c r="D112" s="18" t="s">
        <v>3089</v>
      </c>
      <c r="E112" s="100"/>
      <c r="F112" s="19"/>
      <c r="G112" s="590" t="s">
        <v>3093</v>
      </c>
      <c r="H112" s="591"/>
      <c r="I112" s="592"/>
    </row>
    <row r="113" spans="1:9" ht="35" thickBot="1" x14ac:dyDescent="0.25">
      <c r="A113" s="68">
        <v>2017</v>
      </c>
      <c r="B113" s="514" t="s">
        <v>3086</v>
      </c>
      <c r="C113" s="516">
        <v>8</v>
      </c>
      <c r="D113" s="106" t="s">
        <v>3090</v>
      </c>
      <c r="F113" s="107"/>
      <c r="G113" s="593" t="s">
        <v>3094</v>
      </c>
      <c r="H113" s="594"/>
      <c r="I113" s="595"/>
    </row>
    <row r="114" spans="1:9" ht="34" customHeight="1" thickBot="1" x14ac:dyDescent="0.25">
      <c r="A114" s="68">
        <v>2018</v>
      </c>
      <c r="B114" s="514" t="s">
        <v>3087</v>
      </c>
      <c r="C114" s="516">
        <v>20</v>
      </c>
      <c r="D114" s="106" t="s">
        <v>3091</v>
      </c>
      <c r="F114" s="107"/>
      <c r="G114" s="593" t="s">
        <v>3095</v>
      </c>
      <c r="H114" s="599"/>
      <c r="I114" s="600"/>
    </row>
    <row r="115" spans="1:9" ht="58" customHeight="1" thickBot="1" x14ac:dyDescent="0.25">
      <c r="A115" s="68">
        <v>2019</v>
      </c>
      <c r="B115" s="514" t="s">
        <v>3088</v>
      </c>
      <c r="C115" s="516">
        <v>40</v>
      </c>
      <c r="D115" s="106" t="s">
        <v>3092</v>
      </c>
      <c r="F115" s="107"/>
      <c r="G115" s="593" t="s">
        <v>3097</v>
      </c>
      <c r="H115" s="599"/>
      <c r="I115" s="600"/>
    </row>
    <row r="116" spans="1:9" ht="52" thickBot="1" x14ac:dyDescent="0.25">
      <c r="A116" s="69">
        <v>2020</v>
      </c>
      <c r="B116" s="518" t="s">
        <v>3085</v>
      </c>
      <c r="C116" s="517">
        <v>5</v>
      </c>
      <c r="D116" s="20">
        <v>0</v>
      </c>
      <c r="E116" s="103"/>
      <c r="F116" s="21"/>
      <c r="G116" s="596" t="s">
        <v>2455</v>
      </c>
      <c r="H116" s="597"/>
      <c r="I116" s="598"/>
    </row>
    <row r="158" spans="1:7" ht="17" thickBot="1" x14ac:dyDescent="0.25">
      <c r="A158" s="154" t="s">
        <v>1717</v>
      </c>
      <c r="B158" s="103"/>
      <c r="C158" s="103"/>
      <c r="D158" s="103"/>
      <c r="E158" s="103"/>
      <c r="F158" s="103"/>
      <c r="G158" s="103"/>
    </row>
    <row r="159" spans="1:7" x14ac:dyDescent="0.2">
      <c r="A159" s="1" t="s">
        <v>1706</v>
      </c>
    </row>
    <row r="160" spans="1:7" x14ac:dyDescent="0.2">
      <c r="A160" s="1" t="s">
        <v>1707</v>
      </c>
    </row>
    <row r="162" spans="1:6" x14ac:dyDescent="0.2">
      <c r="C162" s="1" t="s">
        <v>1708</v>
      </c>
      <c r="D162" s="1" t="s">
        <v>2456</v>
      </c>
    </row>
    <row r="163" spans="1:6" x14ac:dyDescent="0.2">
      <c r="C163" s="1" t="s">
        <v>1709</v>
      </c>
      <c r="D163" s="1" t="s">
        <v>1709</v>
      </c>
    </row>
    <row r="164" spans="1:6" x14ac:dyDescent="0.2">
      <c r="B164" s="25"/>
      <c r="C164" s="25" t="s">
        <v>1710</v>
      </c>
      <c r="D164" s="25" t="s">
        <v>1710</v>
      </c>
    </row>
    <row r="165" spans="1:6" x14ac:dyDescent="0.2">
      <c r="B165" s="1">
        <v>2019</v>
      </c>
      <c r="C165" s="24">
        <v>100000</v>
      </c>
      <c r="D165" s="24">
        <v>170000</v>
      </c>
    </row>
    <row r="166" spans="1:6" x14ac:dyDescent="0.2">
      <c r="B166" s="1">
        <v>2020</v>
      </c>
      <c r="C166" s="24">
        <v>200000</v>
      </c>
      <c r="D166" s="24">
        <v>20000</v>
      </c>
    </row>
    <row r="167" spans="1:6" x14ac:dyDescent="0.2">
      <c r="B167" s="1">
        <v>2021</v>
      </c>
      <c r="C167" s="24">
        <v>300000</v>
      </c>
      <c r="D167" s="24">
        <v>40000</v>
      </c>
    </row>
    <row r="168" spans="1:6" x14ac:dyDescent="0.2">
      <c r="B168" s="1">
        <v>2022</v>
      </c>
      <c r="C168" s="24">
        <v>400000</v>
      </c>
      <c r="D168" s="24">
        <f>1000000-D167-D166-D165</f>
        <v>770000</v>
      </c>
    </row>
    <row r="170" spans="1:6" x14ac:dyDescent="0.2">
      <c r="A170" s="1" t="s">
        <v>1712</v>
      </c>
    </row>
    <row r="172" spans="1:6" x14ac:dyDescent="0.2">
      <c r="A172" s="2" t="s">
        <v>1714</v>
      </c>
    </row>
    <row r="173" spans="1:6" ht="17" thickBot="1" x14ac:dyDescent="0.25">
      <c r="A173" s="103" t="s">
        <v>328</v>
      </c>
      <c r="B173" s="103" t="s">
        <v>1713</v>
      </c>
      <c r="C173" s="103" t="s">
        <v>1715</v>
      </c>
      <c r="D173" s="103" t="s">
        <v>463</v>
      </c>
      <c r="E173" s="103" t="s">
        <v>337</v>
      </c>
    </row>
    <row r="174" spans="1:6" ht="68" x14ac:dyDescent="0.2">
      <c r="A174" s="1">
        <v>2019</v>
      </c>
      <c r="B174" s="80" t="s">
        <v>2457</v>
      </c>
      <c r="C174" s="13">
        <v>100</v>
      </c>
      <c r="D174" s="13" t="s">
        <v>2461</v>
      </c>
      <c r="E174" s="80" t="s">
        <v>2465</v>
      </c>
      <c r="F174" s="13"/>
    </row>
    <row r="175" spans="1:6" ht="102" x14ac:dyDescent="0.2">
      <c r="A175" s="1">
        <v>2020</v>
      </c>
      <c r="B175" s="80" t="s">
        <v>2458</v>
      </c>
      <c r="C175" s="13">
        <v>200</v>
      </c>
      <c r="D175" s="13" t="s">
        <v>2462</v>
      </c>
      <c r="E175" s="80" t="s">
        <v>2466</v>
      </c>
      <c r="F175" s="13"/>
    </row>
    <row r="176" spans="1:6" ht="68" x14ac:dyDescent="0.2">
      <c r="A176" s="1">
        <v>2021</v>
      </c>
      <c r="B176" s="80" t="s">
        <v>2459</v>
      </c>
      <c r="C176" s="13">
        <v>300</v>
      </c>
      <c r="D176" s="13" t="s">
        <v>2463</v>
      </c>
      <c r="E176" s="80" t="s">
        <v>2467</v>
      </c>
      <c r="F176" s="13"/>
    </row>
    <row r="177" spans="1:7" ht="68" x14ac:dyDescent="0.2">
      <c r="A177" s="1">
        <v>2022</v>
      </c>
      <c r="B177" s="80" t="s">
        <v>2460</v>
      </c>
      <c r="C177" s="13">
        <v>400</v>
      </c>
      <c r="D177" s="13" t="s">
        <v>2464</v>
      </c>
      <c r="E177" s="80" t="s">
        <v>2468</v>
      </c>
      <c r="F177" s="13"/>
    </row>
    <row r="180" spans="1:7" ht="17" thickBot="1" x14ac:dyDescent="0.25">
      <c r="A180" s="154" t="s">
        <v>1734</v>
      </c>
      <c r="B180" s="103"/>
      <c r="C180" s="103"/>
      <c r="D180" s="103"/>
      <c r="E180" s="103"/>
      <c r="F180" s="103"/>
      <c r="G180" s="103"/>
    </row>
    <row r="182" spans="1:7" x14ac:dyDescent="0.2">
      <c r="C182" s="1" t="s">
        <v>1708</v>
      </c>
      <c r="D182" s="1" t="s">
        <v>1711</v>
      </c>
    </row>
    <row r="183" spans="1:7" x14ac:dyDescent="0.2">
      <c r="C183" s="1" t="s">
        <v>1709</v>
      </c>
      <c r="D183" s="1" t="s">
        <v>1709</v>
      </c>
    </row>
    <row r="184" spans="1:7" x14ac:dyDescent="0.2">
      <c r="B184" s="25"/>
      <c r="C184" s="25" t="s">
        <v>1710</v>
      </c>
      <c r="D184" s="25" t="s">
        <v>1710</v>
      </c>
    </row>
    <row r="185" spans="1:7" x14ac:dyDescent="0.2">
      <c r="B185" s="1">
        <v>2019</v>
      </c>
      <c r="C185" s="24">
        <v>300000</v>
      </c>
      <c r="D185" s="24">
        <v>150000</v>
      </c>
    </row>
    <row r="186" spans="1:7" x14ac:dyDescent="0.2">
      <c r="B186" s="1">
        <v>2020</v>
      </c>
      <c r="C186" s="24">
        <v>200000</v>
      </c>
      <c r="D186" s="24">
        <v>500000</v>
      </c>
    </row>
    <row r="187" spans="1:7" x14ac:dyDescent="0.2">
      <c r="B187" s="1">
        <v>2021</v>
      </c>
      <c r="C187" s="24">
        <v>100000</v>
      </c>
      <c r="D187" s="24">
        <v>0</v>
      </c>
    </row>
    <row r="188" spans="1:7" x14ac:dyDescent="0.2">
      <c r="B188" s="1">
        <v>2022</v>
      </c>
      <c r="C188" s="24">
        <v>400000</v>
      </c>
      <c r="D188" s="24">
        <v>100000</v>
      </c>
    </row>
    <row r="189" spans="1:7" x14ac:dyDescent="0.2">
      <c r="B189" s="1">
        <v>2023</v>
      </c>
      <c r="C189" s="24">
        <v>150000</v>
      </c>
      <c r="D189" s="24">
        <f>1150000-D188-D187-D186-D185</f>
        <v>400000</v>
      </c>
    </row>
    <row r="192" spans="1:7" ht="17" thickBot="1" x14ac:dyDescent="0.25">
      <c r="A192" s="103" t="s">
        <v>328</v>
      </c>
      <c r="B192" s="103" t="s">
        <v>1713</v>
      </c>
      <c r="C192" s="103"/>
      <c r="D192" s="103" t="s">
        <v>1715</v>
      </c>
      <c r="E192" s="103" t="s">
        <v>463</v>
      </c>
      <c r="G192" s="103" t="s">
        <v>337</v>
      </c>
    </row>
    <row r="193" spans="1:7" x14ac:dyDescent="0.2">
      <c r="A193" s="1">
        <f>B185</f>
        <v>2019</v>
      </c>
      <c r="B193" s="1" t="s">
        <v>1720</v>
      </c>
      <c r="C193" s="24">
        <f>D185</f>
        <v>150000</v>
      </c>
      <c r="D193" s="24">
        <f>C185</f>
        <v>300000</v>
      </c>
      <c r="E193" s="1" t="s">
        <v>1449</v>
      </c>
      <c r="F193" s="24">
        <f>C185-D185</f>
        <v>150000</v>
      </c>
      <c r="G193" s="1" t="s">
        <v>1722</v>
      </c>
    </row>
    <row r="194" spans="1:7" x14ac:dyDescent="0.2">
      <c r="B194" s="1" t="s">
        <v>1721</v>
      </c>
      <c r="C194" s="24">
        <f>C193</f>
        <v>150000</v>
      </c>
      <c r="G194" s="1" t="s">
        <v>1723</v>
      </c>
    </row>
    <row r="195" spans="1:7" x14ac:dyDescent="0.2">
      <c r="A195" s="1">
        <f>B186</f>
        <v>2020</v>
      </c>
      <c r="B195" s="1" t="s">
        <v>1720</v>
      </c>
      <c r="C195" s="24">
        <f>D186</f>
        <v>500000</v>
      </c>
      <c r="D195" s="24">
        <f>C186</f>
        <v>200000</v>
      </c>
      <c r="E195" s="1" t="s">
        <v>468</v>
      </c>
      <c r="F195" s="24">
        <f>D185+D186-C185-C186</f>
        <v>150000</v>
      </c>
      <c r="G195" s="1" t="s">
        <v>1724</v>
      </c>
    </row>
    <row r="196" spans="1:7" x14ac:dyDescent="0.2">
      <c r="B196" s="1" t="s">
        <v>1721</v>
      </c>
      <c r="C196" s="24">
        <f>C195</f>
        <v>500000</v>
      </c>
      <c r="G196" s="1" t="s">
        <v>1725</v>
      </c>
    </row>
    <row r="197" spans="1:7" x14ac:dyDescent="0.2">
      <c r="C197" s="24"/>
      <c r="G197" s="1" t="s">
        <v>1726</v>
      </c>
    </row>
    <row r="198" spans="1:7" x14ac:dyDescent="0.2">
      <c r="A198" s="1">
        <f>B187</f>
        <v>2021</v>
      </c>
      <c r="B198" s="1" t="s">
        <v>472</v>
      </c>
      <c r="D198" s="24">
        <f>C187</f>
        <v>100000</v>
      </c>
      <c r="E198" s="1" t="s">
        <v>468</v>
      </c>
      <c r="F198" s="24">
        <f>D185+D186+D187-C185-C186-C187</f>
        <v>50000</v>
      </c>
      <c r="G198" s="1" t="s">
        <v>1727</v>
      </c>
    </row>
    <row r="199" spans="1:7" x14ac:dyDescent="0.2">
      <c r="G199" s="1" t="s">
        <v>1728</v>
      </c>
    </row>
    <row r="200" spans="1:7" x14ac:dyDescent="0.2">
      <c r="A200" s="1">
        <f>B188</f>
        <v>2022</v>
      </c>
      <c r="B200" s="1" t="s">
        <v>1720</v>
      </c>
      <c r="C200" s="24">
        <f>D188</f>
        <v>100000</v>
      </c>
      <c r="D200" s="24">
        <f>C188</f>
        <v>400000</v>
      </c>
      <c r="E200" s="1" t="s">
        <v>1449</v>
      </c>
      <c r="F200" s="24">
        <f>C185+C186+C187+C188-D185-D186-D187-D188</f>
        <v>250000</v>
      </c>
      <c r="G200" s="1" t="s">
        <v>1729</v>
      </c>
    </row>
    <row r="201" spans="1:7" x14ac:dyDescent="0.2">
      <c r="B201" s="1" t="s">
        <v>1721</v>
      </c>
      <c r="C201" s="24">
        <f>C200</f>
        <v>100000</v>
      </c>
      <c r="G201" s="1" t="s">
        <v>1731</v>
      </c>
    </row>
    <row r="202" spans="1:7" x14ac:dyDescent="0.2">
      <c r="C202" s="24"/>
      <c r="G202" s="1" t="s">
        <v>1732</v>
      </c>
    </row>
    <row r="203" spans="1:7" x14ac:dyDescent="0.2">
      <c r="A203" s="1">
        <f>B189</f>
        <v>2023</v>
      </c>
      <c r="B203" s="1" t="s">
        <v>1720</v>
      </c>
      <c r="C203" s="24">
        <f>D189</f>
        <v>400000</v>
      </c>
      <c r="D203" s="24">
        <f>C189</f>
        <v>150000</v>
      </c>
      <c r="E203" s="1" t="s">
        <v>349</v>
      </c>
      <c r="F203" s="24">
        <f>SUM(D185:D189)-SUM(C185:C189)</f>
        <v>0</v>
      </c>
      <c r="G203" s="1" t="s">
        <v>1733</v>
      </c>
    </row>
    <row r="204" spans="1:7" x14ac:dyDescent="0.2">
      <c r="B204" s="1" t="s">
        <v>1721</v>
      </c>
      <c r="C204" s="24">
        <f>C203</f>
        <v>400000</v>
      </c>
      <c r="G204" s="1" t="s">
        <v>1730</v>
      </c>
    </row>
  </sheetData>
  <mergeCells count="14">
    <mergeCell ref="G112:I112"/>
    <mergeCell ref="G113:I113"/>
    <mergeCell ref="G116:I116"/>
    <mergeCell ref="G115:I115"/>
    <mergeCell ref="G114:I114"/>
    <mergeCell ref="D57:E57"/>
    <mergeCell ref="D58:E58"/>
    <mergeCell ref="F58:G58"/>
    <mergeCell ref="F54:G54"/>
    <mergeCell ref="D54:E54"/>
    <mergeCell ref="D55:E55"/>
    <mergeCell ref="F55:G55"/>
    <mergeCell ref="D56:E56"/>
    <mergeCell ref="F56:G56"/>
  </mergeCells>
  <phoneticPr fontId="39" type="noConversion"/>
  <hyperlinks>
    <hyperlink ref="E2" r:id="rId1" xr:uid="{38EF71D6-E848-1241-85A2-1679E2E08172}"/>
  </hyperlinks>
  <pageMargins left="0.7" right="0.7" top="0.75" bottom="0.75" header="0.3" footer="0.3"/>
  <ignoredErrors>
    <ignoredError sqref="C195" formula="1"/>
  </ignoredErrors>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76C0EA-4AAE-144F-8977-7851EDA75BEC}">
  <dimension ref="A1:K432"/>
  <sheetViews>
    <sheetView rightToLeft="1" topLeftCell="A412" zoomScale="348" zoomScaleNormal="240" workbookViewId="0">
      <selection activeCell="G398" sqref="G398"/>
    </sheetView>
  </sheetViews>
  <sheetFormatPr baseColWidth="10" defaultRowHeight="16" x14ac:dyDescent="0.2"/>
  <cols>
    <col min="1" max="1" width="10.83203125" style="1"/>
    <col min="2" max="2" width="13.33203125" style="1" customWidth="1"/>
    <col min="3" max="3" width="12.33203125" style="1" customWidth="1"/>
    <col min="4" max="4" width="17.6640625" style="1" customWidth="1"/>
    <col min="5" max="6" width="10.83203125" style="1"/>
    <col min="7" max="7" width="12.5" style="1" customWidth="1"/>
    <col min="8" max="16384" width="10.83203125" style="1"/>
  </cols>
  <sheetData>
    <row r="1" spans="1:8" ht="36" x14ac:dyDescent="0.4">
      <c r="A1" s="11" t="s">
        <v>1735</v>
      </c>
      <c r="B1" s="3"/>
      <c r="C1" s="3"/>
      <c r="D1" s="3"/>
      <c r="E1" s="3"/>
      <c r="F1" s="3"/>
      <c r="G1" s="3"/>
      <c r="H1" s="249">
        <v>45628</v>
      </c>
    </row>
    <row r="2" spans="1:8" x14ac:dyDescent="0.2">
      <c r="A2" s="2" t="s">
        <v>3098</v>
      </c>
    </row>
    <row r="3" spans="1:8" x14ac:dyDescent="0.2">
      <c r="A3" s="2"/>
    </row>
    <row r="4" spans="1:8" x14ac:dyDescent="0.2">
      <c r="A4" s="2" t="s">
        <v>1737</v>
      </c>
      <c r="C4" s="1" t="s">
        <v>1738</v>
      </c>
    </row>
    <row r="5" spans="1:8" x14ac:dyDescent="0.2">
      <c r="A5" s="2" t="s">
        <v>1739</v>
      </c>
      <c r="C5" s="1" t="s">
        <v>1740</v>
      </c>
    </row>
    <row r="6" spans="1:8" x14ac:dyDescent="0.2">
      <c r="A6" s="2" t="s">
        <v>1741</v>
      </c>
      <c r="C6" s="1" t="s">
        <v>1742</v>
      </c>
    </row>
    <row r="7" spans="1:8" x14ac:dyDescent="0.2">
      <c r="A7" s="2" t="s">
        <v>1736</v>
      </c>
      <c r="C7" s="1" t="s">
        <v>1743</v>
      </c>
    </row>
    <row r="8" spans="1:8" x14ac:dyDescent="0.2">
      <c r="A8" s="2" t="s">
        <v>1744</v>
      </c>
      <c r="C8" s="1" t="s">
        <v>1745</v>
      </c>
    </row>
    <row r="9" spans="1:8" x14ac:dyDescent="0.2">
      <c r="A9" s="2"/>
    </row>
    <row r="10" spans="1:8" x14ac:dyDescent="0.2">
      <c r="A10" s="2" t="s">
        <v>1746</v>
      </c>
    </row>
    <row r="12" spans="1:8" x14ac:dyDescent="0.2">
      <c r="A12" s="2" t="s">
        <v>1747</v>
      </c>
    </row>
    <row r="13" spans="1:8" x14ac:dyDescent="0.2">
      <c r="A13" s="2" t="s">
        <v>1748</v>
      </c>
      <c r="C13" s="1" t="s">
        <v>1749</v>
      </c>
    </row>
    <row r="14" spans="1:8" x14ac:dyDescent="0.2">
      <c r="A14" s="2" t="s">
        <v>1750</v>
      </c>
      <c r="C14" s="1" t="s">
        <v>1751</v>
      </c>
    </row>
    <row r="15" spans="1:8" x14ac:dyDescent="0.2">
      <c r="A15" s="2"/>
    </row>
    <row r="16" spans="1:8" x14ac:dyDescent="0.2">
      <c r="A16" s="2" t="s">
        <v>1752</v>
      </c>
    </row>
    <row r="17" spans="1:8" x14ac:dyDescent="0.2">
      <c r="A17" s="2"/>
    </row>
    <row r="18" spans="1:8" x14ac:dyDescent="0.2">
      <c r="A18" s="34" t="s">
        <v>317</v>
      </c>
      <c r="B18" s="33"/>
      <c r="C18" s="33"/>
      <c r="D18" s="33"/>
      <c r="E18" s="33"/>
      <c r="F18" s="33"/>
      <c r="G18" s="33"/>
      <c r="H18" s="33"/>
    </row>
    <row r="19" spans="1:8" x14ac:dyDescent="0.2">
      <c r="A19" s="1" t="s">
        <v>1753</v>
      </c>
    </row>
    <row r="20" spans="1:8" x14ac:dyDescent="0.2">
      <c r="A20" s="1" t="s">
        <v>1777</v>
      </c>
    </row>
    <row r="22" spans="1:8" x14ac:dyDescent="0.2">
      <c r="B22" s="1" t="s">
        <v>323</v>
      </c>
      <c r="C22" s="3" t="s">
        <v>321</v>
      </c>
      <c r="D22" s="5" t="s">
        <v>1754</v>
      </c>
    </row>
    <row r="23" spans="1:8" x14ac:dyDescent="0.2">
      <c r="B23" s="1" t="s">
        <v>324</v>
      </c>
      <c r="C23" s="3" t="s">
        <v>1755</v>
      </c>
      <c r="D23" s="5" t="s">
        <v>1755</v>
      </c>
    </row>
    <row r="24" spans="1:8" x14ac:dyDescent="0.2">
      <c r="B24" s="25" t="s">
        <v>325</v>
      </c>
      <c r="C24" s="73" t="s">
        <v>326</v>
      </c>
      <c r="D24" s="71" t="s">
        <v>326</v>
      </c>
    </row>
    <row r="25" spans="1:8" x14ac:dyDescent="0.2">
      <c r="B25" s="1">
        <v>2016</v>
      </c>
      <c r="C25" s="75">
        <v>320</v>
      </c>
      <c r="D25" s="242">
        <v>150</v>
      </c>
    </row>
    <row r="26" spans="1:8" x14ac:dyDescent="0.2">
      <c r="B26" s="1">
        <v>2017</v>
      </c>
      <c r="C26" s="75">
        <v>110</v>
      </c>
      <c r="D26" s="242">
        <v>180</v>
      </c>
    </row>
    <row r="27" spans="1:8" x14ac:dyDescent="0.2">
      <c r="B27" s="1">
        <v>2018</v>
      </c>
      <c r="C27" s="75">
        <v>70</v>
      </c>
      <c r="D27" s="242">
        <v>170</v>
      </c>
    </row>
    <row r="28" spans="1:8" x14ac:dyDescent="0.2">
      <c r="B28" s="1">
        <v>2019</v>
      </c>
      <c r="C28" s="75">
        <v>80</v>
      </c>
      <c r="D28" s="242">
        <v>220</v>
      </c>
    </row>
    <row r="29" spans="1:8" x14ac:dyDescent="0.2">
      <c r="B29" s="1">
        <v>2020</v>
      </c>
      <c r="C29" s="75">
        <v>460</v>
      </c>
      <c r="D29" s="242">
        <v>320</v>
      </c>
    </row>
    <row r="30" spans="1:8" x14ac:dyDescent="0.2">
      <c r="B30" s="1" t="s">
        <v>281</v>
      </c>
      <c r="C30" s="280">
        <f>SUM(C25:C29)</f>
        <v>1040</v>
      </c>
      <c r="D30" s="279">
        <f>SUM(D25:D29)</f>
        <v>1040</v>
      </c>
    </row>
    <row r="32" spans="1:8" x14ac:dyDescent="0.2">
      <c r="A32" s="1" t="s">
        <v>2469</v>
      </c>
    </row>
    <row r="33" spans="1:7" x14ac:dyDescent="0.2">
      <c r="A33" s="1" t="s">
        <v>2470</v>
      </c>
    </row>
    <row r="35" spans="1:7" x14ac:dyDescent="0.2">
      <c r="B35" s="75" t="s">
        <v>1761</v>
      </c>
      <c r="C35" s="5" t="s">
        <v>1756</v>
      </c>
      <c r="D35" s="13" t="s">
        <v>3099</v>
      </c>
      <c r="E35" s="13"/>
      <c r="F35" s="77" t="s">
        <v>337</v>
      </c>
      <c r="G35" s="77"/>
    </row>
    <row r="36" spans="1:7" x14ac:dyDescent="0.2">
      <c r="B36" s="75" t="s">
        <v>330</v>
      </c>
      <c r="C36" s="5" t="s">
        <v>334</v>
      </c>
      <c r="D36" s="519" t="s">
        <v>341</v>
      </c>
      <c r="E36" s="13"/>
      <c r="F36" s="520" t="s">
        <v>3106</v>
      </c>
      <c r="G36" s="77"/>
    </row>
    <row r="37" spans="1:7" x14ac:dyDescent="0.2">
      <c r="B37" s="75" t="s">
        <v>331</v>
      </c>
      <c r="C37" s="5" t="s">
        <v>335</v>
      </c>
      <c r="D37" s="13" t="s">
        <v>3100</v>
      </c>
      <c r="E37" s="13"/>
      <c r="F37" s="520" t="s">
        <v>3107</v>
      </c>
      <c r="G37" s="77"/>
    </row>
    <row r="38" spans="1:7" x14ac:dyDescent="0.2">
      <c r="B38" s="75" t="s">
        <v>332</v>
      </c>
      <c r="C38" s="5" t="s">
        <v>336</v>
      </c>
      <c r="D38" s="13" t="s">
        <v>3101</v>
      </c>
      <c r="E38" s="13"/>
      <c r="F38" s="520" t="s">
        <v>3108</v>
      </c>
      <c r="G38" s="77"/>
    </row>
    <row r="39" spans="1:7" x14ac:dyDescent="0.2">
      <c r="A39" s="25" t="s">
        <v>328</v>
      </c>
      <c r="B39" s="76" t="s">
        <v>333</v>
      </c>
      <c r="C39" s="71" t="s">
        <v>324</v>
      </c>
      <c r="D39" s="70" t="s">
        <v>3102</v>
      </c>
      <c r="E39" s="70"/>
      <c r="F39" s="520" t="s">
        <v>3109</v>
      </c>
      <c r="G39" s="78"/>
    </row>
    <row r="40" spans="1:7" ht="34" x14ac:dyDescent="0.2">
      <c r="A40" s="1">
        <v>2016</v>
      </c>
      <c r="B40" s="276" t="s">
        <v>2472</v>
      </c>
      <c r="C40" s="242">
        <v>150</v>
      </c>
      <c r="D40" s="80" t="s">
        <v>3103</v>
      </c>
      <c r="E40" s="13" t="s">
        <v>523</v>
      </c>
      <c r="F40" s="612" t="s">
        <v>3110</v>
      </c>
      <c r="G40" s="612"/>
    </row>
    <row r="41" spans="1:7" ht="34" x14ac:dyDescent="0.2">
      <c r="A41" s="1">
        <v>2017</v>
      </c>
      <c r="B41" s="276" t="s">
        <v>2473</v>
      </c>
      <c r="C41" s="242">
        <v>180</v>
      </c>
      <c r="D41" s="80" t="s">
        <v>3104</v>
      </c>
      <c r="E41" s="1" t="s">
        <v>523</v>
      </c>
      <c r="F41" s="612" t="s">
        <v>3112</v>
      </c>
      <c r="G41" s="612"/>
    </row>
    <row r="42" spans="1:7" ht="34" x14ac:dyDescent="0.2">
      <c r="A42" s="1">
        <v>2018</v>
      </c>
      <c r="B42" s="276" t="s">
        <v>2474</v>
      </c>
      <c r="C42" s="242">
        <v>170</v>
      </c>
      <c r="D42" s="80">
        <v>0</v>
      </c>
      <c r="F42" s="612" t="s">
        <v>3111</v>
      </c>
      <c r="G42" s="613"/>
    </row>
    <row r="43" spans="1:7" ht="34" x14ac:dyDescent="0.2">
      <c r="A43" s="1">
        <v>2019</v>
      </c>
      <c r="B43" s="276" t="s">
        <v>2475</v>
      </c>
      <c r="C43" s="242">
        <v>220</v>
      </c>
      <c r="D43" s="80" t="s">
        <v>3105</v>
      </c>
      <c r="E43" s="1" t="s">
        <v>469</v>
      </c>
      <c r="F43" s="612" t="s">
        <v>3113</v>
      </c>
      <c r="G43" s="613"/>
    </row>
    <row r="44" spans="1:7" ht="34" x14ac:dyDescent="0.2">
      <c r="A44" s="1">
        <v>2020</v>
      </c>
      <c r="B44" s="276" t="s">
        <v>2476</v>
      </c>
      <c r="C44" s="242">
        <v>320</v>
      </c>
      <c r="D44" s="80">
        <v>0</v>
      </c>
      <c r="F44" s="612" t="s">
        <v>3114</v>
      </c>
      <c r="G44" s="613"/>
    </row>
    <row r="45" spans="1:7" x14ac:dyDescent="0.2">
      <c r="C45" s="13"/>
    </row>
    <row r="46" spans="1:7" x14ac:dyDescent="0.2">
      <c r="A46" s="1" t="s">
        <v>1822</v>
      </c>
      <c r="C46" s="13"/>
    </row>
    <row r="47" spans="1:7" x14ac:dyDescent="0.2">
      <c r="A47" s="1" t="s">
        <v>2471</v>
      </c>
      <c r="C47" s="13"/>
    </row>
    <row r="48" spans="1:7" x14ac:dyDescent="0.2">
      <c r="A48" s="1" t="s">
        <v>2477</v>
      </c>
      <c r="C48" s="13"/>
    </row>
    <row r="49" spans="1:11" x14ac:dyDescent="0.2">
      <c r="A49" s="1" t="s">
        <v>2478</v>
      </c>
      <c r="C49" s="13"/>
    </row>
    <row r="50" spans="1:11" x14ac:dyDescent="0.2">
      <c r="A50" s="1" t="s">
        <v>2479</v>
      </c>
      <c r="C50" s="13"/>
      <c r="H50" s="6" t="s">
        <v>2484</v>
      </c>
      <c r="I50" s="1" t="s">
        <v>2485</v>
      </c>
      <c r="K50" s="6" t="s">
        <v>2486</v>
      </c>
    </row>
    <row r="51" spans="1:11" x14ac:dyDescent="0.2">
      <c r="A51" s="1" t="s">
        <v>2480</v>
      </c>
      <c r="C51" s="13" t="s">
        <v>2481</v>
      </c>
      <c r="F51" s="6" t="s">
        <v>1586</v>
      </c>
    </row>
    <row r="52" spans="1:11" x14ac:dyDescent="0.2">
      <c r="C52" s="1" t="s">
        <v>2482</v>
      </c>
      <c r="F52" s="6" t="s">
        <v>2483</v>
      </c>
    </row>
    <row r="53" spans="1:11" x14ac:dyDescent="0.2">
      <c r="H53" s="6" t="s">
        <v>2487</v>
      </c>
      <c r="I53" s="1" t="s">
        <v>2488</v>
      </c>
      <c r="K53" s="6" t="s">
        <v>2489</v>
      </c>
    </row>
    <row r="56" spans="1:11" x14ac:dyDescent="0.2">
      <c r="A56" s="34" t="s">
        <v>350</v>
      </c>
      <c r="B56" s="33"/>
      <c r="C56" s="33"/>
      <c r="D56" s="33"/>
      <c r="E56" s="430"/>
      <c r="F56" s="33"/>
      <c r="G56" s="33"/>
      <c r="H56" s="33"/>
    </row>
    <row r="57" spans="1:11" x14ac:dyDescent="0.2">
      <c r="A57" s="1" t="s">
        <v>1757</v>
      </c>
    </row>
    <row r="58" spans="1:11" x14ac:dyDescent="0.2">
      <c r="A58" s="1" t="s">
        <v>1758</v>
      </c>
    </row>
    <row r="60" spans="1:11" x14ac:dyDescent="0.2">
      <c r="B60" s="2" t="s">
        <v>323</v>
      </c>
      <c r="C60" s="7" t="s">
        <v>321</v>
      </c>
      <c r="D60" s="4" t="s">
        <v>1754</v>
      </c>
    </row>
    <row r="61" spans="1:11" x14ac:dyDescent="0.2">
      <c r="B61" s="2" t="s">
        <v>324</v>
      </c>
      <c r="C61" s="7" t="s">
        <v>1760</v>
      </c>
      <c r="D61" s="4" t="s">
        <v>1759</v>
      </c>
    </row>
    <row r="62" spans="1:11" x14ac:dyDescent="0.2">
      <c r="B62" s="81" t="s">
        <v>325</v>
      </c>
      <c r="C62" s="83" t="s">
        <v>326</v>
      </c>
      <c r="D62" s="82" t="s">
        <v>326</v>
      </c>
    </row>
    <row r="63" spans="1:11" x14ac:dyDescent="0.2">
      <c r="B63" s="1">
        <v>2016</v>
      </c>
      <c r="C63" s="3">
        <v>5</v>
      </c>
      <c r="D63" s="5">
        <v>10</v>
      </c>
    </row>
    <row r="64" spans="1:11" x14ac:dyDescent="0.2">
      <c r="B64" s="1">
        <v>2017</v>
      </c>
      <c r="C64" s="3">
        <v>70</v>
      </c>
      <c r="D64" s="5">
        <v>20</v>
      </c>
    </row>
    <row r="65" spans="1:7" x14ac:dyDescent="0.2">
      <c r="B65" s="1">
        <v>2018</v>
      </c>
      <c r="C65" s="3">
        <v>20</v>
      </c>
      <c r="D65" s="5">
        <v>30</v>
      </c>
    </row>
    <row r="66" spans="1:7" x14ac:dyDescent="0.2">
      <c r="B66" s="1">
        <v>2019</v>
      </c>
      <c r="C66" s="3">
        <v>30</v>
      </c>
      <c r="D66" s="5">
        <v>40</v>
      </c>
    </row>
    <row r="67" spans="1:7" x14ac:dyDescent="0.2">
      <c r="B67" s="1">
        <v>2020</v>
      </c>
      <c r="C67" s="3">
        <v>25</v>
      </c>
      <c r="D67" s="5">
        <v>50</v>
      </c>
    </row>
    <row r="68" spans="1:7" x14ac:dyDescent="0.2">
      <c r="B68" s="1" t="s">
        <v>281</v>
      </c>
      <c r="C68" s="74">
        <f>SUM(C63:C67)</f>
        <v>150</v>
      </c>
      <c r="D68" s="72">
        <f>SUM(D63:D67)</f>
        <v>150</v>
      </c>
    </row>
    <row r="70" spans="1:7" x14ac:dyDescent="0.2">
      <c r="A70" s="1" t="s">
        <v>327</v>
      </c>
    </row>
    <row r="73" spans="1:7" x14ac:dyDescent="0.2">
      <c r="B73" s="75" t="s">
        <v>1761</v>
      </c>
      <c r="C73" s="5" t="s">
        <v>1756</v>
      </c>
      <c r="D73" s="13" t="s">
        <v>3099</v>
      </c>
      <c r="E73" s="13"/>
      <c r="F73" s="77" t="s">
        <v>337</v>
      </c>
      <c r="G73" s="77"/>
    </row>
    <row r="74" spans="1:7" x14ac:dyDescent="0.2">
      <c r="B74" s="75" t="s">
        <v>330</v>
      </c>
      <c r="C74" s="5" t="s">
        <v>334</v>
      </c>
      <c r="D74" s="519" t="s">
        <v>341</v>
      </c>
      <c r="E74" s="13"/>
      <c r="F74" s="520" t="s">
        <v>3106</v>
      </c>
      <c r="G74" s="77"/>
    </row>
    <row r="75" spans="1:7" x14ac:dyDescent="0.2">
      <c r="B75" s="75" t="s">
        <v>331</v>
      </c>
      <c r="C75" s="5" t="s">
        <v>335</v>
      </c>
      <c r="D75" s="13" t="s">
        <v>3100</v>
      </c>
      <c r="E75" s="13"/>
      <c r="F75" s="520" t="s">
        <v>3107</v>
      </c>
      <c r="G75" s="77"/>
    </row>
    <row r="76" spans="1:7" x14ac:dyDescent="0.2">
      <c r="B76" s="75" t="s">
        <v>332</v>
      </c>
      <c r="C76" s="5" t="s">
        <v>336</v>
      </c>
      <c r="D76" s="13" t="s">
        <v>3101</v>
      </c>
      <c r="E76" s="13"/>
      <c r="F76" s="520" t="s">
        <v>3108</v>
      </c>
      <c r="G76" s="77"/>
    </row>
    <row r="77" spans="1:7" x14ac:dyDescent="0.2">
      <c r="A77" s="25" t="s">
        <v>328</v>
      </c>
      <c r="B77" s="76" t="s">
        <v>333</v>
      </c>
      <c r="C77" s="71" t="s">
        <v>324</v>
      </c>
      <c r="D77" s="70" t="s">
        <v>3102</v>
      </c>
      <c r="E77" s="70"/>
      <c r="F77" s="520" t="s">
        <v>3109</v>
      </c>
      <c r="G77" s="78"/>
    </row>
    <row r="78" spans="1:7" ht="34" x14ac:dyDescent="0.2">
      <c r="A78" s="1">
        <v>2016</v>
      </c>
      <c r="B78" s="276" t="s">
        <v>3115</v>
      </c>
      <c r="C78" s="5">
        <v>10</v>
      </c>
      <c r="D78" s="80" t="s">
        <v>3119</v>
      </c>
      <c r="E78" s="13" t="s">
        <v>469</v>
      </c>
      <c r="F78" s="612" t="s">
        <v>3123</v>
      </c>
      <c r="G78" s="612"/>
    </row>
    <row r="79" spans="1:7" ht="50" customHeight="1" x14ac:dyDescent="0.2">
      <c r="A79" s="1">
        <v>2017</v>
      </c>
      <c r="B79" s="276" t="s">
        <v>2474</v>
      </c>
      <c r="C79" s="5">
        <v>20</v>
      </c>
      <c r="D79" s="80" t="s">
        <v>3120</v>
      </c>
      <c r="E79" s="1" t="s">
        <v>523</v>
      </c>
      <c r="F79" s="612" t="s">
        <v>3124</v>
      </c>
      <c r="G79" s="612"/>
    </row>
    <row r="80" spans="1:7" ht="34" x14ac:dyDescent="0.2">
      <c r="A80" s="1">
        <v>2018</v>
      </c>
      <c r="B80" s="276" t="s">
        <v>3116</v>
      </c>
      <c r="C80" s="5">
        <v>30</v>
      </c>
      <c r="D80" s="80" t="s">
        <v>3121</v>
      </c>
      <c r="E80" s="1" t="s">
        <v>523</v>
      </c>
      <c r="F80" s="612" t="s">
        <v>3125</v>
      </c>
      <c r="G80" s="613"/>
    </row>
    <row r="81" spans="1:7" ht="34" x14ac:dyDescent="0.2">
      <c r="A81" s="1">
        <v>2019</v>
      </c>
      <c r="B81" s="276" t="s">
        <v>3117</v>
      </c>
      <c r="C81" s="5">
        <v>40</v>
      </c>
      <c r="D81" s="80" t="s">
        <v>3122</v>
      </c>
      <c r="E81" s="1" t="s">
        <v>523</v>
      </c>
      <c r="F81" s="612" t="s">
        <v>3125</v>
      </c>
      <c r="G81" s="613"/>
    </row>
    <row r="82" spans="1:7" ht="34" x14ac:dyDescent="0.2">
      <c r="A82" s="1">
        <v>2020</v>
      </c>
      <c r="B82" s="276" t="s">
        <v>3118</v>
      </c>
      <c r="C82" s="5">
        <v>50</v>
      </c>
      <c r="D82" s="80">
        <v>0</v>
      </c>
      <c r="F82" s="612" t="s">
        <v>3126</v>
      </c>
      <c r="G82" s="613"/>
    </row>
    <row r="115" spans="1:8" x14ac:dyDescent="0.2">
      <c r="A115" s="34" t="s">
        <v>1778</v>
      </c>
      <c r="B115" s="33"/>
      <c r="C115" s="33"/>
      <c r="D115" s="33"/>
      <c r="E115" s="33"/>
      <c r="F115" s="33"/>
      <c r="G115" s="33"/>
      <c r="H115" s="33"/>
    </row>
    <row r="117" spans="1:8" x14ac:dyDescent="0.2">
      <c r="A117" s="1" t="s">
        <v>1762</v>
      </c>
    </row>
    <row r="118" spans="1:8" x14ac:dyDescent="0.2">
      <c r="A118" s="1" t="s">
        <v>1766</v>
      </c>
    </row>
    <row r="119" spans="1:8" x14ac:dyDescent="0.2">
      <c r="A119" s="1" t="s">
        <v>1769</v>
      </c>
    </row>
    <row r="121" spans="1:8" x14ac:dyDescent="0.2">
      <c r="A121" s="2" t="s">
        <v>1763</v>
      </c>
    </row>
    <row r="122" spans="1:8" x14ac:dyDescent="0.2">
      <c r="A122" s="2" t="s">
        <v>1764</v>
      </c>
    </row>
    <row r="123" spans="1:8" x14ac:dyDescent="0.2">
      <c r="A123" s="2" t="s">
        <v>1765</v>
      </c>
    </row>
    <row r="125" spans="1:8" x14ac:dyDescent="0.2">
      <c r="A125" s="1" t="s">
        <v>1779</v>
      </c>
      <c r="F125"/>
    </row>
    <row r="127" spans="1:8" x14ac:dyDescent="0.2">
      <c r="B127" s="2" t="s">
        <v>323</v>
      </c>
      <c r="C127" s="7" t="s">
        <v>321</v>
      </c>
      <c r="D127" s="4" t="s">
        <v>1754</v>
      </c>
    </row>
    <row r="128" spans="1:8" x14ac:dyDescent="0.2">
      <c r="B128" s="2" t="s">
        <v>324</v>
      </c>
      <c r="C128" s="7" t="s">
        <v>1781</v>
      </c>
      <c r="D128" s="4" t="s">
        <v>1780</v>
      </c>
    </row>
    <row r="129" spans="1:7" x14ac:dyDescent="0.2">
      <c r="B129" s="81" t="s">
        <v>325</v>
      </c>
      <c r="C129" s="83" t="s">
        <v>326</v>
      </c>
      <c r="D129" s="82" t="s">
        <v>326</v>
      </c>
    </row>
    <row r="130" spans="1:7" x14ac:dyDescent="0.2">
      <c r="B130" s="1">
        <v>2022</v>
      </c>
      <c r="C130" s="75">
        <v>600000</v>
      </c>
      <c r="D130" s="242">
        <v>200000</v>
      </c>
    </row>
    <row r="131" spans="1:7" x14ac:dyDescent="0.2">
      <c r="B131" s="1">
        <v>2023</v>
      </c>
      <c r="C131" s="75">
        <v>0</v>
      </c>
      <c r="D131" s="242">
        <v>200000</v>
      </c>
    </row>
    <row r="132" spans="1:7" x14ac:dyDescent="0.2">
      <c r="B132" s="1">
        <v>2024</v>
      </c>
      <c r="C132" s="75">
        <v>0</v>
      </c>
      <c r="D132" s="242">
        <v>200000</v>
      </c>
    </row>
    <row r="134" spans="1:7" x14ac:dyDescent="0.2">
      <c r="A134" s="1" t="s">
        <v>1799</v>
      </c>
    </row>
    <row r="135" spans="1:7" x14ac:dyDescent="0.2">
      <c r="A135" s="1" t="s">
        <v>1800</v>
      </c>
    </row>
    <row r="137" spans="1:7" x14ac:dyDescent="0.2">
      <c r="A137" s="1" t="s">
        <v>1783</v>
      </c>
    </row>
    <row r="138" spans="1:7" x14ac:dyDescent="0.2">
      <c r="B138" s="75" t="s">
        <v>1761</v>
      </c>
      <c r="C138" s="5" t="s">
        <v>1756</v>
      </c>
      <c r="D138" s="77" t="s">
        <v>339</v>
      </c>
      <c r="E138" s="77"/>
      <c r="F138" s="13"/>
    </row>
    <row r="139" spans="1:7" x14ac:dyDescent="0.2">
      <c r="B139" s="75" t="s">
        <v>330</v>
      </c>
      <c r="C139" s="5" t="s">
        <v>334</v>
      </c>
      <c r="D139" s="77" t="s">
        <v>340</v>
      </c>
      <c r="E139" s="77"/>
      <c r="F139" s="13"/>
    </row>
    <row r="140" spans="1:7" x14ac:dyDescent="0.2">
      <c r="B140" s="75" t="s">
        <v>331</v>
      </c>
      <c r="C140" s="5" t="s">
        <v>335</v>
      </c>
      <c r="D140" s="77" t="s">
        <v>341</v>
      </c>
      <c r="E140" s="77"/>
      <c r="F140" s="13"/>
    </row>
    <row r="141" spans="1:7" x14ac:dyDescent="0.2">
      <c r="B141" s="75" t="s">
        <v>332</v>
      </c>
      <c r="C141" s="5" t="s">
        <v>336</v>
      </c>
      <c r="D141" s="77" t="s">
        <v>342</v>
      </c>
      <c r="E141" s="77"/>
      <c r="F141" s="13" t="s">
        <v>337</v>
      </c>
    </row>
    <row r="142" spans="1:7" x14ac:dyDescent="0.2">
      <c r="B142" s="76" t="s">
        <v>333</v>
      </c>
      <c r="C142" s="71" t="s">
        <v>324</v>
      </c>
      <c r="D142" s="78" t="s">
        <v>343</v>
      </c>
      <c r="E142" s="78"/>
      <c r="F142" s="70" t="s">
        <v>338</v>
      </c>
    </row>
    <row r="143" spans="1:7" ht="34" x14ac:dyDescent="0.2">
      <c r="A143" s="13">
        <v>2022</v>
      </c>
      <c r="B143" s="276" t="s">
        <v>1782</v>
      </c>
      <c r="C143" s="242">
        <v>200</v>
      </c>
      <c r="D143" s="429" t="s">
        <v>3127</v>
      </c>
      <c r="E143" s="77"/>
      <c r="F143" s="606" t="s">
        <v>1784</v>
      </c>
      <c r="G143" s="606"/>
    </row>
    <row r="145" spans="1:4" x14ac:dyDescent="0.2">
      <c r="A145" s="2" t="s">
        <v>1768</v>
      </c>
    </row>
    <row r="146" spans="1:4" x14ac:dyDescent="0.2">
      <c r="A146" s="2" t="s">
        <v>1770</v>
      </c>
    </row>
    <row r="147" spans="1:4" x14ac:dyDescent="0.2">
      <c r="A147" s="2" t="s">
        <v>1771</v>
      </c>
    </row>
    <row r="148" spans="1:4" x14ac:dyDescent="0.2">
      <c r="A148" s="2" t="s">
        <v>1772</v>
      </c>
    </row>
    <row r="150" spans="1:4" x14ac:dyDescent="0.2">
      <c r="A150" s="1" t="s">
        <v>1785</v>
      </c>
    </row>
    <row r="152" spans="1:4" x14ac:dyDescent="0.2">
      <c r="B152" s="2" t="s">
        <v>323</v>
      </c>
      <c r="C152" s="245" t="s">
        <v>321</v>
      </c>
      <c r="D152" s="4" t="s">
        <v>1754</v>
      </c>
    </row>
    <row r="153" spans="1:4" x14ac:dyDescent="0.2">
      <c r="B153" s="2" t="s">
        <v>324</v>
      </c>
      <c r="C153" s="245" t="s">
        <v>1781</v>
      </c>
      <c r="D153" s="4" t="s">
        <v>1780</v>
      </c>
    </row>
    <row r="154" spans="1:4" x14ac:dyDescent="0.2">
      <c r="B154" s="81" t="s">
        <v>325</v>
      </c>
      <c r="C154" s="286" t="s">
        <v>326</v>
      </c>
      <c r="D154" s="82" t="s">
        <v>326</v>
      </c>
    </row>
    <row r="155" spans="1:4" x14ac:dyDescent="0.2">
      <c r="B155" s="1">
        <v>2022</v>
      </c>
      <c r="C155" s="75">
        <v>700</v>
      </c>
      <c r="D155" s="242">
        <f>790</f>
        <v>790</v>
      </c>
    </row>
    <row r="157" spans="1:4" x14ac:dyDescent="0.2">
      <c r="A157" s="1" t="s">
        <v>1786</v>
      </c>
    </row>
    <row r="158" spans="1:4" x14ac:dyDescent="0.2">
      <c r="A158" s="1" t="s">
        <v>1787</v>
      </c>
    </row>
    <row r="159" spans="1:4" x14ac:dyDescent="0.2">
      <c r="A159" s="1" t="s">
        <v>1788</v>
      </c>
    </row>
    <row r="161" spans="1:7" x14ac:dyDescent="0.2">
      <c r="A161" s="1" t="s">
        <v>1767</v>
      </c>
    </row>
    <row r="163" spans="1:7" x14ac:dyDescent="0.2">
      <c r="B163" s="75" t="s">
        <v>1761</v>
      </c>
      <c r="C163" s="5" t="s">
        <v>1756</v>
      </c>
      <c r="D163" s="77" t="s">
        <v>339</v>
      </c>
      <c r="E163" s="77"/>
      <c r="F163" s="13"/>
    </row>
    <row r="164" spans="1:7" x14ac:dyDescent="0.2">
      <c r="B164" s="75" t="s">
        <v>330</v>
      </c>
      <c r="C164" s="5" t="s">
        <v>334</v>
      </c>
      <c r="D164" s="77" t="s">
        <v>340</v>
      </c>
      <c r="E164" s="77"/>
      <c r="F164" s="13"/>
    </row>
    <row r="165" spans="1:7" x14ac:dyDescent="0.2">
      <c r="B165" s="75" t="s">
        <v>331</v>
      </c>
      <c r="C165" s="5" t="s">
        <v>335</v>
      </c>
      <c r="D165" s="77" t="s">
        <v>341</v>
      </c>
      <c r="E165" s="77"/>
      <c r="F165" s="13"/>
    </row>
    <row r="166" spans="1:7" x14ac:dyDescent="0.2">
      <c r="B166" s="75" t="s">
        <v>332</v>
      </c>
      <c r="C166" s="5" t="s">
        <v>336</v>
      </c>
      <c r="D166" s="77" t="s">
        <v>342</v>
      </c>
      <c r="E166" s="77"/>
      <c r="F166" s="13" t="s">
        <v>337</v>
      </c>
    </row>
    <row r="167" spans="1:7" x14ac:dyDescent="0.2">
      <c r="B167" s="76" t="s">
        <v>333</v>
      </c>
      <c r="C167" s="71" t="s">
        <v>324</v>
      </c>
      <c r="D167" s="78" t="s">
        <v>343</v>
      </c>
      <c r="E167" s="78"/>
      <c r="F167" s="70" t="s">
        <v>338</v>
      </c>
    </row>
    <row r="168" spans="1:7" ht="51" x14ac:dyDescent="0.2">
      <c r="A168" s="13">
        <v>2022</v>
      </c>
      <c r="B168" s="276" t="s">
        <v>3128</v>
      </c>
      <c r="C168" s="242">
        <v>790</v>
      </c>
      <c r="D168" s="429" t="s">
        <v>3129</v>
      </c>
      <c r="E168" s="77"/>
      <c r="F168" s="606" t="s">
        <v>3130</v>
      </c>
      <c r="G168" s="606"/>
    </row>
    <row r="170" spans="1:7" x14ac:dyDescent="0.2">
      <c r="A170" s="2" t="s">
        <v>2490</v>
      </c>
    </row>
    <row r="171" spans="1:7" x14ac:dyDescent="0.2">
      <c r="A171" s="2" t="s">
        <v>1773</v>
      </c>
    </row>
    <row r="173" spans="1:7" x14ac:dyDescent="0.2">
      <c r="B173" s="73" t="s">
        <v>1790</v>
      </c>
      <c r="C173" s="287" t="s">
        <v>1791</v>
      </c>
    </row>
    <row r="174" spans="1:7" x14ac:dyDescent="0.2">
      <c r="A174" s="1">
        <v>2022</v>
      </c>
      <c r="B174" s="75">
        <v>800</v>
      </c>
      <c r="C174" s="288">
        <f>90%*800</f>
        <v>720</v>
      </c>
      <c r="D174" s="12" t="s">
        <v>1792</v>
      </c>
    </row>
    <row r="175" spans="1:7" s="13" customFormat="1" x14ac:dyDescent="0.2"/>
    <row r="176" spans="1:7" s="13" customFormat="1" x14ac:dyDescent="0.2">
      <c r="A176" s="13" t="s">
        <v>1793</v>
      </c>
    </row>
    <row r="177" spans="1:7" s="13" customFormat="1" x14ac:dyDescent="0.2">
      <c r="A177" s="13" t="s">
        <v>1794</v>
      </c>
    </row>
    <row r="178" spans="1:7" s="13" customFormat="1" x14ac:dyDescent="0.2">
      <c r="F178" s="13" t="s">
        <v>1801</v>
      </c>
    </row>
    <row r="179" spans="1:7" s="13" customFormat="1" x14ac:dyDescent="0.2"/>
    <row r="180" spans="1:7" x14ac:dyDescent="0.2">
      <c r="A180" s="1" t="s">
        <v>1767</v>
      </c>
    </row>
    <row r="181" spans="1:7" x14ac:dyDescent="0.2">
      <c r="B181" s="75" t="s">
        <v>345</v>
      </c>
      <c r="C181" s="5" t="s">
        <v>329</v>
      </c>
      <c r="D181" s="13"/>
      <c r="E181" s="13"/>
      <c r="F181" s="77" t="s">
        <v>339</v>
      </c>
      <c r="G181" s="77"/>
    </row>
    <row r="182" spans="1:7" x14ac:dyDescent="0.2">
      <c r="B182" s="75" t="s">
        <v>330</v>
      </c>
      <c r="C182" s="5" t="s">
        <v>334</v>
      </c>
      <c r="D182" s="13"/>
      <c r="E182" s="13"/>
      <c r="F182" s="77" t="s">
        <v>340</v>
      </c>
      <c r="G182" s="77"/>
    </row>
    <row r="183" spans="1:7" x14ac:dyDescent="0.2">
      <c r="B183" s="75" t="s">
        <v>331</v>
      </c>
      <c r="C183" s="5" t="s">
        <v>335</v>
      </c>
      <c r="D183" s="13"/>
      <c r="E183" s="13"/>
      <c r="F183" s="77" t="s">
        <v>341</v>
      </c>
      <c r="G183" s="77"/>
    </row>
    <row r="184" spans="1:7" x14ac:dyDescent="0.2">
      <c r="B184" s="75" t="s">
        <v>332</v>
      </c>
      <c r="C184" s="5" t="s">
        <v>336</v>
      </c>
      <c r="D184" s="13" t="s">
        <v>337</v>
      </c>
      <c r="E184" s="13"/>
      <c r="F184" s="77" t="s">
        <v>342</v>
      </c>
      <c r="G184" s="77"/>
    </row>
    <row r="185" spans="1:7" x14ac:dyDescent="0.2">
      <c r="B185" s="76" t="s">
        <v>333</v>
      </c>
      <c r="C185" s="71" t="s">
        <v>324</v>
      </c>
      <c r="D185" s="70" t="s">
        <v>338</v>
      </c>
      <c r="E185" s="70"/>
      <c r="F185" s="78" t="s">
        <v>343</v>
      </c>
      <c r="G185" s="78"/>
    </row>
    <row r="186" spans="1:7" ht="34" x14ac:dyDescent="0.2">
      <c r="A186" s="13">
        <v>2022</v>
      </c>
      <c r="B186" s="276" t="s">
        <v>1795</v>
      </c>
      <c r="C186" s="242">
        <v>720</v>
      </c>
      <c r="D186" s="80" t="s">
        <v>1796</v>
      </c>
      <c r="E186" s="13"/>
      <c r="F186" s="607" t="s">
        <v>3131</v>
      </c>
      <c r="G186" s="607"/>
    </row>
    <row r="188" spans="1:7" x14ac:dyDescent="0.2">
      <c r="A188" s="2" t="s">
        <v>1774</v>
      </c>
    </row>
    <row r="189" spans="1:7" x14ac:dyDescent="0.2">
      <c r="A189" s="2" t="s">
        <v>1775</v>
      </c>
    </row>
    <row r="190" spans="1:7" x14ac:dyDescent="0.2">
      <c r="A190" s="2" t="s">
        <v>1776</v>
      </c>
    </row>
    <row r="192" spans="1:7" x14ac:dyDescent="0.2">
      <c r="A192" s="1" t="s">
        <v>2493</v>
      </c>
    </row>
    <row r="193" spans="1:7" x14ac:dyDescent="0.2">
      <c r="A193" s="1" t="s">
        <v>2494</v>
      </c>
    </row>
    <row r="196" spans="1:7" x14ac:dyDescent="0.2">
      <c r="B196" s="73" t="s">
        <v>321</v>
      </c>
      <c r="C196" s="71" t="s">
        <v>1754</v>
      </c>
      <c r="E196" s="13" t="s">
        <v>2495</v>
      </c>
      <c r="F196" s="13"/>
      <c r="G196" s="13"/>
    </row>
    <row r="197" spans="1:7" x14ac:dyDescent="0.2">
      <c r="A197" s="1">
        <v>2020</v>
      </c>
      <c r="B197" s="75">
        <v>120000</v>
      </c>
      <c r="C197" s="242">
        <v>30000</v>
      </c>
      <c r="E197" s="13" t="s">
        <v>2496</v>
      </c>
      <c r="F197" s="13"/>
      <c r="G197" s="13"/>
    </row>
    <row r="198" spans="1:7" ht="17" thickBot="1" x14ac:dyDescent="0.25">
      <c r="A198" s="1">
        <v>2021</v>
      </c>
      <c r="B198" s="75">
        <v>0</v>
      </c>
      <c r="C198" s="242">
        <v>30000</v>
      </c>
      <c r="E198" s="13" t="s">
        <v>2497</v>
      </c>
      <c r="F198" s="13"/>
      <c r="G198" s="13"/>
    </row>
    <row r="199" spans="1:7" ht="17" thickBot="1" x14ac:dyDescent="0.25">
      <c r="A199" s="283">
        <v>2022</v>
      </c>
      <c r="B199" s="431">
        <v>0</v>
      </c>
      <c r="C199" s="432">
        <v>30000</v>
      </c>
      <c r="E199" s="13">
        <f>120000/4</f>
        <v>30000</v>
      </c>
      <c r="F199" s="13"/>
      <c r="G199" s="13" t="s">
        <v>2498</v>
      </c>
    </row>
    <row r="200" spans="1:7" x14ac:dyDescent="0.2">
      <c r="A200" s="1">
        <v>2023</v>
      </c>
      <c r="B200" s="75">
        <v>0</v>
      </c>
      <c r="C200" s="242">
        <v>30000</v>
      </c>
      <c r="E200" s="13"/>
      <c r="F200" s="13"/>
      <c r="G200" s="13"/>
    </row>
    <row r="202" spans="1:7" x14ac:dyDescent="0.2">
      <c r="A202" s="1" t="s">
        <v>1767</v>
      </c>
    </row>
    <row r="203" spans="1:7" x14ac:dyDescent="0.2">
      <c r="B203" s="75" t="s">
        <v>1761</v>
      </c>
      <c r="C203" s="5" t="s">
        <v>1756</v>
      </c>
      <c r="D203" s="13"/>
      <c r="E203" s="13"/>
      <c r="F203" s="77" t="s">
        <v>339</v>
      </c>
      <c r="G203" s="77"/>
    </row>
    <row r="204" spans="1:7" x14ac:dyDescent="0.2">
      <c r="B204" s="75" t="s">
        <v>330</v>
      </c>
      <c r="C204" s="5" t="s">
        <v>334</v>
      </c>
      <c r="D204" s="13"/>
      <c r="E204" s="13"/>
      <c r="F204" s="77" t="s">
        <v>340</v>
      </c>
      <c r="G204" s="77"/>
    </row>
    <row r="205" spans="1:7" x14ac:dyDescent="0.2">
      <c r="B205" s="75" t="s">
        <v>331</v>
      </c>
      <c r="C205" s="5" t="s">
        <v>335</v>
      </c>
      <c r="D205" s="13"/>
      <c r="E205" s="13"/>
      <c r="F205" s="77" t="s">
        <v>341</v>
      </c>
      <c r="G205" s="77"/>
    </row>
    <row r="206" spans="1:7" x14ac:dyDescent="0.2">
      <c r="B206" s="75" t="s">
        <v>332</v>
      </c>
      <c r="C206" s="5" t="s">
        <v>336</v>
      </c>
      <c r="D206" s="13" t="s">
        <v>337</v>
      </c>
      <c r="E206" s="13"/>
      <c r="F206" s="77" t="s">
        <v>342</v>
      </c>
      <c r="G206" s="77"/>
    </row>
    <row r="207" spans="1:7" x14ac:dyDescent="0.2">
      <c r="B207" s="76" t="s">
        <v>333</v>
      </c>
      <c r="C207" s="71" t="s">
        <v>324</v>
      </c>
      <c r="D207" s="70" t="s">
        <v>338</v>
      </c>
      <c r="E207" s="70"/>
      <c r="F207" s="78" t="s">
        <v>343</v>
      </c>
      <c r="G207" s="78"/>
    </row>
    <row r="208" spans="1:7" ht="51" x14ac:dyDescent="0.2">
      <c r="A208" s="1">
        <v>2020</v>
      </c>
      <c r="B208" s="276" t="s">
        <v>1797</v>
      </c>
      <c r="C208" s="242">
        <v>30</v>
      </c>
      <c r="D208" s="80" t="s">
        <v>2500</v>
      </c>
      <c r="E208" s="13"/>
      <c r="F208" s="429" t="s">
        <v>2499</v>
      </c>
      <c r="G208" s="77">
        <v>90</v>
      </c>
    </row>
    <row r="209" spans="1:8" ht="52" thickBot="1" x14ac:dyDescent="0.25">
      <c r="A209" s="1">
        <v>2021</v>
      </c>
      <c r="B209" s="276">
        <v>0</v>
      </c>
      <c r="C209" s="242">
        <v>30</v>
      </c>
      <c r="D209" s="80" t="s">
        <v>2501</v>
      </c>
      <c r="E209" s="13"/>
      <c r="F209" s="429" t="s">
        <v>2499</v>
      </c>
      <c r="G209" s="77">
        <v>60</v>
      </c>
    </row>
    <row r="210" spans="1:8" ht="52" thickBot="1" x14ac:dyDescent="0.25">
      <c r="A210" s="283">
        <v>2022</v>
      </c>
      <c r="B210" s="284">
        <v>0</v>
      </c>
      <c r="C210" s="282">
        <v>30</v>
      </c>
      <c r="D210" s="289" t="s">
        <v>2501</v>
      </c>
      <c r="E210" s="290"/>
      <c r="F210" s="433" t="s">
        <v>2499</v>
      </c>
      <c r="G210" s="285">
        <v>30</v>
      </c>
      <c r="H210" s="434" t="s">
        <v>2502</v>
      </c>
    </row>
    <row r="211" spans="1:8" ht="34" x14ac:dyDescent="0.2">
      <c r="A211" s="1">
        <v>2023</v>
      </c>
      <c r="B211" s="276">
        <v>0</v>
      </c>
      <c r="C211" s="242">
        <v>30</v>
      </c>
      <c r="D211" s="80" t="s">
        <v>2501</v>
      </c>
      <c r="E211" s="13"/>
      <c r="F211" s="77">
        <v>0</v>
      </c>
      <c r="G211" s="77"/>
    </row>
    <row r="214" spans="1:8" x14ac:dyDescent="0.2">
      <c r="A214" s="34" t="s">
        <v>2503</v>
      </c>
      <c r="B214" s="33"/>
      <c r="C214" s="33"/>
      <c r="D214" s="33"/>
      <c r="E214" s="33"/>
      <c r="F214" s="33"/>
      <c r="G214" s="33"/>
      <c r="H214" s="33"/>
    </row>
    <row r="216" spans="1:8" x14ac:dyDescent="0.2">
      <c r="A216" s="1" t="s">
        <v>2504</v>
      </c>
    </row>
    <row r="217" spans="1:8" x14ac:dyDescent="0.2">
      <c r="A217" s="1" t="s">
        <v>2505</v>
      </c>
    </row>
    <row r="218" spans="1:8" x14ac:dyDescent="0.2">
      <c r="A218" s="1" t="s">
        <v>2506</v>
      </c>
    </row>
    <row r="220" spans="1:8" x14ac:dyDescent="0.2">
      <c r="B220" s="1" t="s">
        <v>1024</v>
      </c>
      <c r="C220" s="1" t="s">
        <v>1024</v>
      </c>
    </row>
    <row r="221" spans="1:8" x14ac:dyDescent="0.2">
      <c r="A221" s="25" t="s">
        <v>328</v>
      </c>
      <c r="B221" s="25" t="s">
        <v>1754</v>
      </c>
      <c r="C221" s="25" t="s">
        <v>2507</v>
      </c>
    </row>
    <row r="222" spans="1:8" x14ac:dyDescent="0.2">
      <c r="A222" s="1">
        <v>2016</v>
      </c>
      <c r="B222" s="1">
        <v>500</v>
      </c>
      <c r="C222" s="1">
        <v>600</v>
      </c>
    </row>
    <row r="223" spans="1:8" x14ac:dyDescent="0.2">
      <c r="A223" s="1">
        <v>2017</v>
      </c>
      <c r="B223" s="1">
        <v>800</v>
      </c>
      <c r="C223" s="1">
        <v>100</v>
      </c>
    </row>
    <row r="224" spans="1:8" x14ac:dyDescent="0.2">
      <c r="A224" s="1">
        <v>2018</v>
      </c>
      <c r="B224" s="1">
        <v>900</v>
      </c>
      <c r="C224" s="1">
        <v>300</v>
      </c>
    </row>
    <row r="225" spans="1:3" x14ac:dyDescent="0.2">
      <c r="A225" s="1">
        <v>2019</v>
      </c>
      <c r="B225" s="1">
        <v>400</v>
      </c>
      <c r="C225" s="1">
        <v>700</v>
      </c>
    </row>
    <row r="226" spans="1:3" x14ac:dyDescent="0.2">
      <c r="A226" s="1">
        <v>2020</v>
      </c>
      <c r="B226" s="1">
        <v>300</v>
      </c>
      <c r="C226" s="1">
        <v>1300</v>
      </c>
    </row>
    <row r="227" spans="1:3" x14ac:dyDescent="0.2">
      <c r="A227" s="1">
        <v>2021</v>
      </c>
      <c r="B227" s="1">
        <v>200</v>
      </c>
      <c r="C227" s="1">
        <v>100</v>
      </c>
    </row>
    <row r="228" spans="1:3" x14ac:dyDescent="0.2">
      <c r="A228" s="1" t="s">
        <v>281</v>
      </c>
      <c r="B228" s="1">
        <f>SUM(B222:B227)</f>
        <v>3100</v>
      </c>
      <c r="C228" s="1">
        <f>SUM(C222:C227)</f>
        <v>3100</v>
      </c>
    </row>
    <row r="230" spans="1:3" x14ac:dyDescent="0.2">
      <c r="A230" s="1" t="s">
        <v>204</v>
      </c>
    </row>
    <row r="231" spans="1:3" x14ac:dyDescent="0.2">
      <c r="A231" s="1" t="s">
        <v>2508</v>
      </c>
    </row>
    <row r="232" spans="1:3" x14ac:dyDescent="0.2">
      <c r="A232" s="1" t="s">
        <v>2509</v>
      </c>
    </row>
    <row r="233" spans="1:3" x14ac:dyDescent="0.2">
      <c r="A233" s="1" t="s">
        <v>2510</v>
      </c>
    </row>
    <row r="234" spans="1:3" x14ac:dyDescent="0.2">
      <c r="A234" s="1" t="s">
        <v>2511</v>
      </c>
    </row>
    <row r="235" spans="1:3" x14ac:dyDescent="0.2">
      <c r="A235" s="1" t="s">
        <v>2512</v>
      </c>
    </row>
    <row r="236" spans="1:3" x14ac:dyDescent="0.2">
      <c r="A236" s="1" t="s">
        <v>2513</v>
      </c>
    </row>
    <row r="238" spans="1:3" x14ac:dyDescent="0.2">
      <c r="A238" s="1" t="s">
        <v>675</v>
      </c>
    </row>
    <row r="240" spans="1:3" x14ac:dyDescent="0.2">
      <c r="A240" s="1" t="s">
        <v>2514</v>
      </c>
    </row>
    <row r="241" spans="1:8" ht="17" thickBot="1" x14ac:dyDescent="0.25"/>
    <row r="242" spans="1:8" ht="34" x14ac:dyDescent="0.2">
      <c r="A242" s="25" t="s">
        <v>328</v>
      </c>
      <c r="B242" s="67" t="s">
        <v>2515</v>
      </c>
      <c r="C242" s="437" t="s">
        <v>2519</v>
      </c>
      <c r="D242" s="67" t="s">
        <v>337</v>
      </c>
      <c r="E242" s="25"/>
      <c r="F242" s="438" t="s">
        <v>463</v>
      </c>
      <c r="G242" s="424"/>
      <c r="H242" s="425"/>
    </row>
    <row r="243" spans="1:8" ht="34" x14ac:dyDescent="0.2">
      <c r="A243" s="1">
        <v>2016</v>
      </c>
      <c r="B243" s="435" t="s">
        <v>1782</v>
      </c>
      <c r="C243" s="68">
        <f>B222</f>
        <v>500</v>
      </c>
      <c r="D243" s="435" t="s">
        <v>2528</v>
      </c>
      <c r="F243" s="106" t="s">
        <v>2521</v>
      </c>
      <c r="H243" s="107">
        <v>100</v>
      </c>
    </row>
    <row r="244" spans="1:8" ht="51" x14ac:dyDescent="0.2">
      <c r="A244" s="1">
        <v>2017</v>
      </c>
      <c r="B244" s="435" t="s">
        <v>2516</v>
      </c>
      <c r="C244" s="68">
        <f t="shared" ref="C244:C248" si="0">B223</f>
        <v>800</v>
      </c>
      <c r="D244" s="435" t="s">
        <v>2529</v>
      </c>
      <c r="F244" s="106" t="s">
        <v>2520</v>
      </c>
      <c r="H244" s="107">
        <f>(500+800)-(600+100)</f>
        <v>600</v>
      </c>
    </row>
    <row r="245" spans="1:8" ht="34" x14ac:dyDescent="0.2">
      <c r="A245" s="1">
        <v>2018</v>
      </c>
      <c r="B245" s="435" t="s">
        <v>2517</v>
      </c>
      <c r="C245" s="68">
        <f t="shared" si="0"/>
        <v>900</v>
      </c>
      <c r="D245" s="435" t="s">
        <v>2530</v>
      </c>
      <c r="F245" s="106" t="s">
        <v>2520</v>
      </c>
      <c r="H245" s="107">
        <f>(500+800+900)-(600+100+300)</f>
        <v>1200</v>
      </c>
    </row>
    <row r="246" spans="1:8" ht="34" x14ac:dyDescent="0.2">
      <c r="A246" s="1">
        <v>2019</v>
      </c>
      <c r="B246" s="435" t="s">
        <v>1789</v>
      </c>
      <c r="C246" s="68">
        <f t="shared" si="0"/>
        <v>400</v>
      </c>
      <c r="D246" s="435" t="s">
        <v>2531</v>
      </c>
      <c r="F246" s="106" t="s">
        <v>2520</v>
      </c>
      <c r="H246" s="107">
        <f>(500+800+900+400)-(600+100+300+700)</f>
        <v>900</v>
      </c>
    </row>
    <row r="247" spans="1:8" ht="34" customHeight="1" x14ac:dyDescent="0.2">
      <c r="A247" s="1">
        <v>2020</v>
      </c>
      <c r="B247" s="435" t="s">
        <v>2518</v>
      </c>
      <c r="C247" s="68">
        <f t="shared" si="0"/>
        <v>300</v>
      </c>
      <c r="D247" s="435" t="s">
        <v>2532</v>
      </c>
      <c r="F247" s="106" t="s">
        <v>2521</v>
      </c>
      <c r="H247" s="107">
        <f>(600+100+300+700+1300)-(500+800+900+400+300)</f>
        <v>100</v>
      </c>
    </row>
    <row r="248" spans="1:8" ht="35" thickBot="1" x14ac:dyDescent="0.25">
      <c r="A248" s="1">
        <v>2021</v>
      </c>
      <c r="B248" s="436" t="s">
        <v>2516</v>
      </c>
      <c r="C248" s="69">
        <f t="shared" si="0"/>
        <v>200</v>
      </c>
      <c r="D248" s="436" t="s">
        <v>2533</v>
      </c>
      <c r="F248" s="20" t="s">
        <v>349</v>
      </c>
      <c r="G248" s="103"/>
      <c r="H248" s="21">
        <v>0</v>
      </c>
    </row>
    <row r="253" spans="1:8" x14ac:dyDescent="0.2">
      <c r="A253" s="1" t="s">
        <v>2522</v>
      </c>
    </row>
    <row r="254" spans="1:8" x14ac:dyDescent="0.2">
      <c r="A254" s="1" t="s">
        <v>2523</v>
      </c>
    </row>
    <row r="255" spans="1:8" x14ac:dyDescent="0.2">
      <c r="A255" s="1" t="s">
        <v>2524</v>
      </c>
    </row>
    <row r="256" spans="1:8" x14ac:dyDescent="0.2">
      <c r="A256" s="1" t="s">
        <v>2525</v>
      </c>
      <c r="B256" s="1" t="s">
        <v>2526</v>
      </c>
    </row>
    <row r="257" spans="1:8" x14ac:dyDescent="0.2">
      <c r="B257" s="1" t="s">
        <v>2527</v>
      </c>
    </row>
    <row r="259" spans="1:8" x14ac:dyDescent="0.2">
      <c r="A259" s="34" t="s">
        <v>2534</v>
      </c>
      <c r="B259" s="33"/>
      <c r="C259" s="33"/>
      <c r="D259" s="33"/>
      <c r="E259" s="33"/>
      <c r="F259" s="33"/>
      <c r="G259" s="33"/>
      <c r="H259" s="33"/>
    </row>
    <row r="273" spans="1:8" x14ac:dyDescent="0.2">
      <c r="B273" s="439" t="s">
        <v>2537</v>
      </c>
      <c r="C273" s="439" t="s">
        <v>2537</v>
      </c>
    </row>
    <row r="274" spans="1:8" x14ac:dyDescent="0.2">
      <c r="B274" s="439" t="s">
        <v>2538</v>
      </c>
      <c r="C274" s="439" t="s">
        <v>2543</v>
      </c>
      <c r="F274" s="439" t="s">
        <v>2547</v>
      </c>
    </row>
    <row r="275" spans="1:8" x14ac:dyDescent="0.2">
      <c r="B275" s="439" t="s">
        <v>2539</v>
      </c>
      <c r="C275" s="439" t="s">
        <v>2544</v>
      </c>
      <c r="F275" s="439" t="s">
        <v>2548</v>
      </c>
    </row>
    <row r="276" spans="1:8" x14ac:dyDescent="0.2">
      <c r="B276" s="439" t="s">
        <v>2540</v>
      </c>
      <c r="C276" s="439" t="s">
        <v>2545</v>
      </c>
      <c r="F276" s="439" t="s">
        <v>2549</v>
      </c>
    </row>
    <row r="277" spans="1:8" x14ac:dyDescent="0.2">
      <c r="B277" s="439" t="s">
        <v>2541</v>
      </c>
      <c r="C277" s="439" t="s">
        <v>2540</v>
      </c>
      <c r="F277" s="439" t="s">
        <v>2550</v>
      </c>
    </row>
    <row r="278" spans="1:8" x14ac:dyDescent="0.2">
      <c r="B278" s="439" t="s">
        <v>2542</v>
      </c>
      <c r="C278" s="439" t="s">
        <v>2546</v>
      </c>
      <c r="F278" s="439" t="s">
        <v>2551</v>
      </c>
    </row>
    <row r="279" spans="1:8" x14ac:dyDescent="0.2">
      <c r="A279" s="83" t="s">
        <v>328</v>
      </c>
      <c r="B279" s="83" t="s">
        <v>2535</v>
      </c>
      <c r="C279" s="83" t="s">
        <v>2536</v>
      </c>
      <c r="D279" s="83" t="s">
        <v>337</v>
      </c>
      <c r="E279" s="83"/>
      <c r="F279" s="83" t="s">
        <v>463</v>
      </c>
      <c r="G279" s="83"/>
      <c r="H279" s="83"/>
    </row>
    <row r="280" spans="1:8" ht="34" x14ac:dyDescent="0.2">
      <c r="A280" s="1">
        <v>2020</v>
      </c>
      <c r="B280" s="30" t="s">
        <v>344</v>
      </c>
      <c r="C280" s="1">
        <v>100</v>
      </c>
      <c r="D280" s="30" t="s">
        <v>2562</v>
      </c>
      <c r="F280" s="1" t="s">
        <v>2492</v>
      </c>
      <c r="H280" s="1">
        <v>20</v>
      </c>
    </row>
    <row r="281" spans="1:8" ht="34" x14ac:dyDescent="0.2">
      <c r="A281" s="1">
        <v>2021</v>
      </c>
      <c r="B281" s="30" t="s">
        <v>2552</v>
      </c>
      <c r="C281" s="1">
        <v>200</v>
      </c>
      <c r="D281" s="30" t="s">
        <v>2564</v>
      </c>
      <c r="F281" s="1" t="s">
        <v>2492</v>
      </c>
      <c r="H281" s="1">
        <f>(100+200)-(80+170)</f>
        <v>50</v>
      </c>
    </row>
    <row r="282" spans="1:8" ht="51" x14ac:dyDescent="0.2">
      <c r="A282" s="1">
        <v>2022</v>
      </c>
      <c r="B282" s="30" t="s">
        <v>2553</v>
      </c>
      <c r="C282" s="1">
        <v>300</v>
      </c>
      <c r="D282" s="30" t="s">
        <v>2563</v>
      </c>
      <c r="F282" s="1" t="s">
        <v>2491</v>
      </c>
      <c r="H282" s="1">
        <f>(80+170+600)-(100+200+300)</f>
        <v>250</v>
      </c>
    </row>
    <row r="283" spans="1:8" ht="34" x14ac:dyDescent="0.2">
      <c r="A283" s="1">
        <v>2023</v>
      </c>
      <c r="B283" s="30" t="s">
        <v>2561</v>
      </c>
      <c r="C283" s="1">
        <v>400</v>
      </c>
      <c r="D283" s="30" t="s">
        <v>2565</v>
      </c>
      <c r="F283" s="1" t="s">
        <v>349</v>
      </c>
      <c r="H283" s="1">
        <v>0</v>
      </c>
    </row>
    <row r="286" spans="1:8" x14ac:dyDescent="0.2">
      <c r="A286" s="1" t="s">
        <v>2554</v>
      </c>
    </row>
    <row r="287" spans="1:8" x14ac:dyDescent="0.2">
      <c r="B287" s="1" t="s">
        <v>2555</v>
      </c>
      <c r="E287" s="1">
        <f>100+200+300+400</f>
        <v>1000</v>
      </c>
      <c r="G287" s="1" t="s">
        <v>2558</v>
      </c>
    </row>
    <row r="288" spans="1:8" x14ac:dyDescent="0.2">
      <c r="B288" s="1" t="s">
        <v>2556</v>
      </c>
      <c r="E288" s="1">
        <f>80+170+600</f>
        <v>850</v>
      </c>
      <c r="G288" s="1" t="s">
        <v>2559</v>
      </c>
    </row>
    <row r="289" spans="1:8" x14ac:dyDescent="0.2">
      <c r="B289" s="1" t="s">
        <v>2557</v>
      </c>
      <c r="E289" s="1">
        <f>E287-E288</f>
        <v>150</v>
      </c>
      <c r="G289" s="1" t="s">
        <v>2560</v>
      </c>
    </row>
    <row r="294" spans="1:8" ht="36" x14ac:dyDescent="0.4">
      <c r="A294" s="11" t="s">
        <v>3132</v>
      </c>
      <c r="B294" s="3"/>
      <c r="C294" s="3"/>
      <c r="D294" s="3"/>
      <c r="E294" s="3"/>
      <c r="F294" s="3"/>
      <c r="G294" s="3"/>
      <c r="H294" s="250"/>
    </row>
    <row r="296" spans="1:8" x14ac:dyDescent="0.2">
      <c r="A296" s="85" t="s">
        <v>364</v>
      </c>
      <c r="B296" s="16"/>
      <c r="C296" s="16"/>
      <c r="D296" s="16"/>
      <c r="E296" s="16"/>
      <c r="F296" s="16"/>
      <c r="G296" s="16"/>
      <c r="H296" s="16"/>
    </row>
    <row r="298" spans="1:8" x14ac:dyDescent="0.2">
      <c r="A298" s="2" t="s">
        <v>365</v>
      </c>
    </row>
    <row r="299" spans="1:8" x14ac:dyDescent="0.2">
      <c r="A299" s="1" t="s">
        <v>366</v>
      </c>
    </row>
    <row r="300" spans="1:8" x14ac:dyDescent="0.2">
      <c r="A300" s="1" t="s">
        <v>367</v>
      </c>
    </row>
    <row r="301" spans="1:8" x14ac:dyDescent="0.2">
      <c r="A301" s="1" t="s">
        <v>368</v>
      </c>
    </row>
    <row r="302" spans="1:8" x14ac:dyDescent="0.2">
      <c r="A302" s="1" t="s">
        <v>369</v>
      </c>
    </row>
    <row r="304" spans="1:8" x14ac:dyDescent="0.2">
      <c r="A304" s="2" t="s">
        <v>370</v>
      </c>
    </row>
    <row r="305" spans="1:7" x14ac:dyDescent="0.2">
      <c r="A305" s="1" t="s">
        <v>371</v>
      </c>
    </row>
    <row r="306" spans="1:7" x14ac:dyDescent="0.2">
      <c r="A306" s="1" t="s">
        <v>372</v>
      </c>
    </row>
    <row r="308" spans="1:7" x14ac:dyDescent="0.2">
      <c r="A308" s="2" t="s">
        <v>373</v>
      </c>
    </row>
    <row r="309" spans="1:7" x14ac:dyDescent="0.2">
      <c r="A309" s="2" t="s">
        <v>374</v>
      </c>
      <c r="B309" s="2"/>
      <c r="C309" s="2"/>
      <c r="D309" s="2"/>
    </row>
    <row r="310" spans="1:7" x14ac:dyDescent="0.2">
      <c r="A310" s="1" t="s">
        <v>375</v>
      </c>
    </row>
    <row r="311" spans="1:7" x14ac:dyDescent="0.2">
      <c r="A311" s="1" t="s">
        <v>376</v>
      </c>
    </row>
    <row r="312" spans="1:7" x14ac:dyDescent="0.2">
      <c r="A312" s="1" t="s">
        <v>377</v>
      </c>
    </row>
    <row r="313" spans="1:7" x14ac:dyDescent="0.2">
      <c r="A313" s="2" t="s">
        <v>378</v>
      </c>
      <c r="B313" s="2"/>
      <c r="C313" s="2"/>
      <c r="D313" s="2"/>
      <c r="E313" s="2"/>
      <c r="F313" s="2"/>
      <c r="G313" s="2"/>
    </row>
    <row r="314" spans="1:7" x14ac:dyDescent="0.2">
      <c r="A314" s="2" t="s">
        <v>379</v>
      </c>
      <c r="B314" s="2"/>
      <c r="C314" s="2"/>
      <c r="D314" s="2"/>
      <c r="E314" s="2"/>
      <c r="F314" s="2"/>
      <c r="G314" s="2"/>
    </row>
    <row r="316" spans="1:7" x14ac:dyDescent="0.2">
      <c r="A316" s="2" t="s">
        <v>380</v>
      </c>
    </row>
    <row r="317" spans="1:7" x14ac:dyDescent="0.2">
      <c r="A317" s="1" t="s">
        <v>381</v>
      </c>
    </row>
    <row r="318" spans="1:7" x14ac:dyDescent="0.2">
      <c r="A318" s="1" t="s">
        <v>382</v>
      </c>
    </row>
    <row r="319" spans="1:7" x14ac:dyDescent="0.2">
      <c r="A319" s="8" t="s">
        <v>383</v>
      </c>
    </row>
    <row r="320" spans="1:7" x14ac:dyDescent="0.2">
      <c r="A320" s="8" t="s">
        <v>384</v>
      </c>
    </row>
    <row r="322" spans="1:8" x14ac:dyDescent="0.2">
      <c r="C322" s="36" t="s">
        <v>389</v>
      </c>
    </row>
    <row r="323" spans="1:8" x14ac:dyDescent="0.2">
      <c r="A323" s="1" t="s">
        <v>385</v>
      </c>
      <c r="C323" s="41">
        <v>100000</v>
      </c>
    </row>
    <row r="324" spans="1:8" x14ac:dyDescent="0.2">
      <c r="A324" s="1" t="s">
        <v>386</v>
      </c>
      <c r="C324" s="44">
        <v>-20000</v>
      </c>
      <c r="D324" s="1" t="s">
        <v>388</v>
      </c>
    </row>
    <row r="325" spans="1:8" x14ac:dyDescent="0.2">
      <c r="A325" s="1" t="s">
        <v>387</v>
      </c>
      <c r="C325" s="55">
        <f>C323+C324</f>
        <v>80000</v>
      </c>
    </row>
    <row r="327" spans="1:8" x14ac:dyDescent="0.2">
      <c r="A327" s="2" t="s">
        <v>390</v>
      </c>
    </row>
    <row r="328" spans="1:8" x14ac:dyDescent="0.2">
      <c r="A328" s="1" t="s">
        <v>391</v>
      </c>
    </row>
    <row r="330" spans="1:8" x14ac:dyDescent="0.2">
      <c r="A330" s="7" t="s">
        <v>414</v>
      </c>
      <c r="B330" s="3"/>
      <c r="C330" s="3"/>
      <c r="D330" s="3"/>
      <c r="E330" s="3"/>
      <c r="F330" s="3"/>
      <c r="G330" s="3"/>
      <c r="H330" s="3"/>
    </row>
    <row r="331" spans="1:8" x14ac:dyDescent="0.2">
      <c r="A331" s="1" t="s">
        <v>3133</v>
      </c>
    </row>
    <row r="332" spans="1:8" x14ac:dyDescent="0.2">
      <c r="A332" s="1" t="s">
        <v>392</v>
      </c>
    </row>
    <row r="333" spans="1:8" x14ac:dyDescent="0.2">
      <c r="A333" s="1" t="s">
        <v>393</v>
      </c>
    </row>
    <row r="334" spans="1:8" x14ac:dyDescent="0.2">
      <c r="A334" s="1" t="s">
        <v>394</v>
      </c>
    </row>
    <row r="335" spans="1:8" x14ac:dyDescent="0.2">
      <c r="A335" s="1" t="s">
        <v>395</v>
      </c>
      <c r="B335" s="13"/>
    </row>
    <row r="336" spans="1:8" x14ac:dyDescent="0.2">
      <c r="A336" s="1" t="s">
        <v>396</v>
      </c>
    </row>
    <row r="337" spans="1:7" x14ac:dyDescent="0.2">
      <c r="A337" s="1" t="s">
        <v>397</v>
      </c>
    </row>
    <row r="338" spans="1:7" x14ac:dyDescent="0.2">
      <c r="A338" s="1" t="s">
        <v>398</v>
      </c>
    </row>
    <row r="339" spans="1:7" x14ac:dyDescent="0.2">
      <c r="A339" s="1" t="s">
        <v>400</v>
      </c>
    </row>
    <row r="340" spans="1:7" x14ac:dyDescent="0.2">
      <c r="A340" s="1" t="s">
        <v>399</v>
      </c>
    </row>
    <row r="342" spans="1:7" x14ac:dyDescent="0.2">
      <c r="A342" s="2" t="s">
        <v>401</v>
      </c>
    </row>
    <row r="344" spans="1:7" x14ac:dyDescent="0.2">
      <c r="A344" s="1" t="s">
        <v>3134</v>
      </c>
      <c r="E344" s="1" t="s">
        <v>3135</v>
      </c>
    </row>
    <row r="345" spans="1:7" ht="17" thickBot="1" x14ac:dyDescent="0.25"/>
    <row r="346" spans="1:7" ht="17" thickBot="1" x14ac:dyDescent="0.25">
      <c r="A346" s="2"/>
      <c r="B346" s="608" t="s">
        <v>385</v>
      </c>
      <c r="C346" s="609"/>
      <c r="D346" s="610" t="s">
        <v>386</v>
      </c>
      <c r="E346" s="611"/>
      <c r="F346" s="610" t="s">
        <v>402</v>
      </c>
      <c r="G346" s="611"/>
    </row>
    <row r="347" spans="1:7" x14ac:dyDescent="0.2">
      <c r="A347" s="81" t="s">
        <v>403</v>
      </c>
      <c r="B347" s="9" t="s">
        <v>162</v>
      </c>
      <c r="C347" s="9" t="s">
        <v>163</v>
      </c>
      <c r="D347" s="246" t="s">
        <v>162</v>
      </c>
      <c r="E347" s="246" t="s">
        <v>163</v>
      </c>
      <c r="F347" s="246" t="s">
        <v>162</v>
      </c>
      <c r="G347" s="246" t="s">
        <v>163</v>
      </c>
    </row>
    <row r="348" spans="1:7" x14ac:dyDescent="0.2">
      <c r="A348" s="1" t="s">
        <v>284</v>
      </c>
      <c r="B348" s="247">
        <v>200000</v>
      </c>
      <c r="E348" s="6"/>
    </row>
    <row r="349" spans="1:7" ht="17" thickBot="1" x14ac:dyDescent="0.25">
      <c r="A349" s="1" t="s">
        <v>285</v>
      </c>
      <c r="C349" s="41">
        <v>70000</v>
      </c>
    </row>
    <row r="350" spans="1:7" ht="17" thickBot="1" x14ac:dyDescent="0.25">
      <c r="A350" s="1" t="s">
        <v>288</v>
      </c>
      <c r="E350" s="441">
        <f>E351</f>
        <v>13000</v>
      </c>
      <c r="F350" s="91">
        <f>E350</f>
        <v>13000</v>
      </c>
    </row>
    <row r="351" spans="1:7" ht="17" thickBot="1" x14ac:dyDescent="0.25">
      <c r="A351" s="202" t="s">
        <v>417</v>
      </c>
      <c r="B351" s="521">
        <v>130000</v>
      </c>
      <c r="C351" s="601"/>
      <c r="D351" s="602"/>
      <c r="E351" s="440">
        <f>10%*B351</f>
        <v>13000</v>
      </c>
      <c r="F351" s="103"/>
      <c r="G351" s="103"/>
    </row>
    <row r="352" spans="1:7" x14ac:dyDescent="0.2">
      <c r="A352" s="87" t="s">
        <v>289</v>
      </c>
      <c r="B352" s="41">
        <v>500000</v>
      </c>
    </row>
    <row r="353" spans="1:6" x14ac:dyDescent="0.2">
      <c r="A353" s="87" t="s">
        <v>286</v>
      </c>
      <c r="C353" s="41">
        <v>320000</v>
      </c>
    </row>
    <row r="354" spans="1:6" ht="17" thickBot="1" x14ac:dyDescent="0.25">
      <c r="A354" s="87" t="s">
        <v>290</v>
      </c>
      <c r="C354" s="247">
        <v>4000</v>
      </c>
      <c r="D354" s="41">
        <v>4000</v>
      </c>
    </row>
    <row r="355" spans="1:6" ht="17" thickBot="1" x14ac:dyDescent="0.25">
      <c r="A355" s="87" t="s">
        <v>291</v>
      </c>
      <c r="E355" s="90">
        <f>30600-9000</f>
        <v>21600</v>
      </c>
      <c r="F355" s="522">
        <f>E355</f>
        <v>21600</v>
      </c>
    </row>
    <row r="356" spans="1:6" ht="17" thickBot="1" x14ac:dyDescent="0.25">
      <c r="A356" s="87" t="s">
        <v>432</v>
      </c>
      <c r="B356" s="88">
        <f>B351+B352-C353-C354</f>
        <v>306000</v>
      </c>
      <c r="C356" s="603"/>
      <c r="D356" s="604"/>
      <c r="E356" s="440">
        <f>B356*10%</f>
        <v>30600</v>
      </c>
    </row>
    <row r="358" spans="1:6" x14ac:dyDescent="0.2">
      <c r="A358" s="2" t="s">
        <v>412</v>
      </c>
    </row>
    <row r="359" spans="1:6" x14ac:dyDescent="0.2">
      <c r="D359" s="86">
        <v>44196</v>
      </c>
      <c r="E359" s="86">
        <v>44561</v>
      </c>
    </row>
    <row r="360" spans="1:6" x14ac:dyDescent="0.2">
      <c r="A360" s="1" t="s">
        <v>1883</v>
      </c>
      <c r="D360" s="41">
        <f>B351</f>
        <v>130000</v>
      </c>
      <c r="E360" s="41">
        <f>B356</f>
        <v>306000</v>
      </c>
    </row>
    <row r="361" spans="1:6" x14ac:dyDescent="0.2">
      <c r="A361" s="1" t="s">
        <v>1884</v>
      </c>
      <c r="D361" s="44">
        <f>-E351</f>
        <v>-13000</v>
      </c>
      <c r="E361" s="44">
        <f>-E356</f>
        <v>-30600</v>
      </c>
    </row>
    <row r="362" spans="1:6" x14ac:dyDescent="0.2">
      <c r="A362" s="1" t="s">
        <v>1885</v>
      </c>
      <c r="D362" s="55">
        <f>D360+D361</f>
        <v>117000</v>
      </c>
      <c r="E362" s="55">
        <f>E360+E361</f>
        <v>275400</v>
      </c>
    </row>
    <row r="363" spans="1:6" x14ac:dyDescent="0.2">
      <c r="D363" s="6"/>
      <c r="E363" s="6"/>
    </row>
    <row r="364" spans="1:6" x14ac:dyDescent="0.2">
      <c r="A364" s="1" t="s">
        <v>2566</v>
      </c>
      <c r="D364" s="41">
        <f>F350</f>
        <v>13000</v>
      </c>
      <c r="E364" s="41">
        <f>F355</f>
        <v>21600</v>
      </c>
    </row>
    <row r="366" spans="1:6" x14ac:dyDescent="0.2">
      <c r="A366" s="1" t="s">
        <v>418</v>
      </c>
    </row>
    <row r="367" spans="1:6" x14ac:dyDescent="0.2">
      <c r="A367" s="1" t="s">
        <v>421</v>
      </c>
    </row>
    <row r="368" spans="1:6" x14ac:dyDescent="0.2">
      <c r="A368" s="1" t="s">
        <v>422</v>
      </c>
    </row>
    <row r="369" spans="1:8" x14ac:dyDescent="0.2">
      <c r="A369" s="1" t="s">
        <v>419</v>
      </c>
    </row>
    <row r="370" spans="1:8" x14ac:dyDescent="0.2">
      <c r="A370" s="1" t="s">
        <v>420</v>
      </c>
    </row>
    <row r="371" spans="1:8" x14ac:dyDescent="0.2">
      <c r="A371" s="1" t="s">
        <v>423</v>
      </c>
    </row>
    <row r="372" spans="1:8" x14ac:dyDescent="0.2">
      <c r="B372" s="1" t="s">
        <v>424</v>
      </c>
      <c r="E372" s="1">
        <v>0</v>
      </c>
      <c r="F372" s="1" t="s">
        <v>425</v>
      </c>
    </row>
    <row r="373" spans="1:8" ht="17" thickBot="1" x14ac:dyDescent="0.25">
      <c r="B373" s="1" t="s">
        <v>427</v>
      </c>
      <c r="E373" s="24">
        <f>E374</f>
        <v>13000</v>
      </c>
    </row>
    <row r="374" spans="1:8" ht="17" thickBot="1" x14ac:dyDescent="0.25">
      <c r="B374" s="1" t="s">
        <v>426</v>
      </c>
      <c r="E374" s="26">
        <v>13000</v>
      </c>
    </row>
    <row r="375" spans="1:8" x14ac:dyDescent="0.2">
      <c r="E375" s="24"/>
    </row>
    <row r="376" spans="1:8" x14ac:dyDescent="0.2">
      <c r="A376" s="2" t="s">
        <v>428</v>
      </c>
      <c r="E376" s="24"/>
    </row>
    <row r="377" spans="1:8" x14ac:dyDescent="0.2">
      <c r="A377" s="1" t="s">
        <v>429</v>
      </c>
      <c r="E377" s="24"/>
    </row>
    <row r="378" spans="1:8" x14ac:dyDescent="0.2">
      <c r="A378" s="1" t="s">
        <v>430</v>
      </c>
      <c r="D378" s="24">
        <v>4000</v>
      </c>
      <c r="E378" s="24"/>
    </row>
    <row r="379" spans="1:8" x14ac:dyDescent="0.2">
      <c r="A379" s="1" t="s">
        <v>431</v>
      </c>
      <c r="D379" s="24">
        <f>D378</f>
        <v>4000</v>
      </c>
      <c r="E379" s="24"/>
    </row>
    <row r="380" spans="1:8" x14ac:dyDescent="0.2">
      <c r="D380" s="24"/>
      <c r="E380" s="24"/>
    </row>
    <row r="381" spans="1:8" x14ac:dyDescent="0.2">
      <c r="A381" s="2" t="s">
        <v>433</v>
      </c>
      <c r="D381" s="24"/>
      <c r="E381" s="24"/>
    </row>
    <row r="382" spans="1:8" x14ac:dyDescent="0.2">
      <c r="A382" s="1" t="s">
        <v>434</v>
      </c>
      <c r="D382" s="24"/>
      <c r="F382" s="24">
        <f>E374</f>
        <v>13000</v>
      </c>
      <c r="G382" s="605">
        <v>9000</v>
      </c>
    </row>
    <row r="383" spans="1:8" ht="17" thickBot="1" x14ac:dyDescent="0.25">
      <c r="A383" s="1" t="s">
        <v>435</v>
      </c>
      <c r="D383" s="24"/>
      <c r="E383" s="24"/>
      <c r="F383" s="24">
        <v>-4000</v>
      </c>
      <c r="G383" s="605"/>
    </row>
    <row r="384" spans="1:8" ht="17" thickBot="1" x14ac:dyDescent="0.25">
      <c r="A384" s="2" t="s">
        <v>437</v>
      </c>
      <c r="D384" s="24"/>
      <c r="E384" s="24"/>
      <c r="F384" s="92">
        <f>F385-G382</f>
        <v>21600</v>
      </c>
      <c r="H384" s="1" t="s">
        <v>438</v>
      </c>
    </row>
    <row r="385" spans="1:7" x14ac:dyDescent="0.2">
      <c r="A385" s="1" t="s">
        <v>436</v>
      </c>
      <c r="D385" s="24"/>
      <c r="E385" s="24"/>
      <c r="F385" s="24">
        <v>30600</v>
      </c>
    </row>
    <row r="386" spans="1:7" x14ac:dyDescent="0.2">
      <c r="D386" s="24"/>
      <c r="E386" s="24"/>
    </row>
    <row r="387" spans="1:7" x14ac:dyDescent="0.2">
      <c r="D387" s="24"/>
      <c r="E387" s="24"/>
    </row>
    <row r="388" spans="1:7" ht="17" thickBot="1" x14ac:dyDescent="0.25"/>
    <row r="389" spans="1:7" ht="17" thickBot="1" x14ac:dyDescent="0.25">
      <c r="A389" s="283" t="s">
        <v>439</v>
      </c>
      <c r="B389" s="121"/>
      <c r="C389" s="121"/>
      <c r="D389" s="121"/>
      <c r="E389" s="121"/>
      <c r="F389" s="121"/>
      <c r="G389" s="147"/>
    </row>
    <row r="390" spans="1:7" ht="17" thickBot="1" x14ac:dyDescent="0.25"/>
    <row r="391" spans="1:7" x14ac:dyDescent="0.2">
      <c r="B391" s="582" t="s">
        <v>440</v>
      </c>
      <c r="C391" s="583"/>
      <c r="D391" s="582" t="s">
        <v>386</v>
      </c>
      <c r="E391" s="583"/>
      <c r="F391" s="582" t="s">
        <v>441</v>
      </c>
      <c r="G391" s="583"/>
    </row>
    <row r="392" spans="1:7" x14ac:dyDescent="0.2">
      <c r="B392" s="59" t="s">
        <v>162</v>
      </c>
      <c r="C392" s="60" t="s">
        <v>163</v>
      </c>
      <c r="D392" s="59" t="s">
        <v>162</v>
      </c>
      <c r="E392" s="60" t="s">
        <v>163</v>
      </c>
      <c r="F392" s="59" t="s">
        <v>162</v>
      </c>
      <c r="G392" s="60" t="s">
        <v>163</v>
      </c>
    </row>
    <row r="393" spans="1:7" x14ac:dyDescent="0.2">
      <c r="A393" s="1" t="s">
        <v>442</v>
      </c>
      <c r="B393" s="106"/>
      <c r="C393" s="107"/>
      <c r="D393" s="106"/>
      <c r="E393" s="107"/>
      <c r="F393" s="106"/>
      <c r="G393" s="107"/>
    </row>
    <row r="394" spans="1:7" ht="34" x14ac:dyDescent="0.2">
      <c r="B394" s="523" t="s">
        <v>443</v>
      </c>
      <c r="C394" s="524" t="s">
        <v>444</v>
      </c>
      <c r="D394" s="63"/>
      <c r="E394" s="62"/>
      <c r="F394" s="63"/>
      <c r="G394" s="62"/>
    </row>
    <row r="395" spans="1:7" x14ac:dyDescent="0.2">
      <c r="B395" s="63"/>
      <c r="C395" s="525" t="s">
        <v>445</v>
      </c>
      <c r="D395" s="526" t="s">
        <v>445</v>
      </c>
      <c r="E395" s="62"/>
      <c r="F395" s="63"/>
      <c r="G395" s="62"/>
    </row>
    <row r="396" spans="1:7" x14ac:dyDescent="0.2">
      <c r="B396" s="63"/>
      <c r="C396" s="62"/>
      <c r="D396" s="63"/>
      <c r="E396" s="527" t="s">
        <v>446</v>
      </c>
      <c r="F396" s="528" t="s">
        <v>441</v>
      </c>
      <c r="G396" s="62"/>
    </row>
    <row r="397" spans="1:7" ht="51" customHeight="1" thickBot="1" x14ac:dyDescent="0.25">
      <c r="A397" s="1" t="s">
        <v>447</v>
      </c>
      <c r="B397" s="529" t="s">
        <v>448</v>
      </c>
      <c r="C397" s="530" t="s">
        <v>449</v>
      </c>
      <c r="D397" s="531"/>
      <c r="E397" s="530" t="s">
        <v>450</v>
      </c>
      <c r="F397" s="532"/>
      <c r="G397" s="415"/>
    </row>
    <row r="399" spans="1:7" x14ac:dyDescent="0.2">
      <c r="G399" s="2" t="s">
        <v>3136</v>
      </c>
    </row>
    <row r="401" spans="1:8" x14ac:dyDescent="0.2">
      <c r="A401" s="7" t="s">
        <v>415</v>
      </c>
      <c r="B401" s="3"/>
      <c r="C401" s="3"/>
      <c r="D401" s="3"/>
      <c r="E401" s="3"/>
      <c r="F401" s="3"/>
      <c r="G401" s="3"/>
      <c r="H401" s="3"/>
    </row>
    <row r="402" spans="1:8" x14ac:dyDescent="0.2">
      <c r="A402" s="1" t="s">
        <v>404</v>
      </c>
    </row>
    <row r="403" spans="1:8" x14ac:dyDescent="0.2">
      <c r="A403" s="1" t="s">
        <v>392</v>
      </c>
    </row>
    <row r="404" spans="1:8" x14ac:dyDescent="0.2">
      <c r="A404" s="1" t="s">
        <v>405</v>
      </c>
    </row>
    <row r="405" spans="1:8" x14ac:dyDescent="0.2">
      <c r="A405" s="1" t="s">
        <v>406</v>
      </c>
    </row>
    <row r="406" spans="1:8" x14ac:dyDescent="0.2">
      <c r="A406" s="1" t="s">
        <v>407</v>
      </c>
    </row>
    <row r="407" spans="1:8" x14ac:dyDescent="0.2">
      <c r="A407" s="1" t="s">
        <v>408</v>
      </c>
    </row>
    <row r="408" spans="1:8" x14ac:dyDescent="0.2">
      <c r="A408" s="1" t="s">
        <v>409</v>
      </c>
    </row>
    <row r="409" spans="1:8" x14ac:dyDescent="0.2">
      <c r="A409" s="1" t="s">
        <v>410</v>
      </c>
    </row>
    <row r="410" spans="1:8" x14ac:dyDescent="0.2">
      <c r="A410" s="1" t="s">
        <v>411</v>
      </c>
    </row>
    <row r="412" spans="1:8" x14ac:dyDescent="0.2">
      <c r="A412" s="2" t="s">
        <v>401</v>
      </c>
    </row>
    <row r="414" spans="1:8" x14ac:dyDescent="0.2">
      <c r="B414" s="581" t="s">
        <v>385</v>
      </c>
      <c r="C414" s="581"/>
      <c r="D414" s="581" t="s">
        <v>386</v>
      </c>
      <c r="E414" s="581"/>
      <c r="F414" s="581" t="s">
        <v>402</v>
      </c>
      <c r="G414" s="581"/>
    </row>
    <row r="415" spans="1:8" x14ac:dyDescent="0.2">
      <c r="A415" s="25" t="s">
        <v>403</v>
      </c>
      <c r="B415" s="36" t="s">
        <v>162</v>
      </c>
      <c r="C415" s="36" t="s">
        <v>163</v>
      </c>
      <c r="D415" s="36" t="s">
        <v>162</v>
      </c>
      <c r="E415" s="36" t="s">
        <v>163</v>
      </c>
      <c r="F415" s="36" t="s">
        <v>162</v>
      </c>
      <c r="G415" s="36" t="s">
        <v>163</v>
      </c>
    </row>
    <row r="416" spans="1:8" x14ac:dyDescent="0.2">
      <c r="A416" s="1" t="s">
        <v>1826</v>
      </c>
      <c r="B416" s="41">
        <v>1000000</v>
      </c>
      <c r="C416" s="6"/>
      <c r="D416" s="6"/>
      <c r="E416" s="6"/>
      <c r="F416" s="6"/>
      <c r="G416" s="6"/>
    </row>
    <row r="417" spans="1:10" ht="17" thickBot="1" x14ac:dyDescent="0.25">
      <c r="A417" s="1" t="s">
        <v>1827</v>
      </c>
      <c r="B417" s="6"/>
      <c r="C417" s="41">
        <v>900000</v>
      </c>
      <c r="D417" s="6"/>
      <c r="E417" s="6"/>
      <c r="F417" s="6"/>
      <c r="G417" s="6"/>
    </row>
    <row r="418" spans="1:10" ht="17" thickBot="1" x14ac:dyDescent="0.25">
      <c r="A418" s="110" t="s">
        <v>446</v>
      </c>
      <c r="B418" s="6"/>
      <c r="C418" s="6"/>
      <c r="D418" s="6"/>
      <c r="E418" s="303">
        <f>E419</f>
        <v>8000</v>
      </c>
      <c r="F418" s="304">
        <f>E418</f>
        <v>8000</v>
      </c>
      <c r="G418" s="6"/>
    </row>
    <row r="419" spans="1:10" ht="17" thickBot="1" x14ac:dyDescent="0.25">
      <c r="A419" s="93" t="s">
        <v>416</v>
      </c>
      <c r="B419" s="112">
        <f>B416-C417</f>
        <v>100000</v>
      </c>
      <c r="C419" s="113"/>
      <c r="D419" s="305"/>
      <c r="E419" s="112">
        <f>B419*8%</f>
        <v>8000</v>
      </c>
      <c r="F419" s="112">
        <f>F418</f>
        <v>8000</v>
      </c>
      <c r="G419" s="306"/>
    </row>
    <row r="420" spans="1:10" x14ac:dyDescent="0.2">
      <c r="A420" s="1" t="s">
        <v>1828</v>
      </c>
      <c r="B420" s="41">
        <v>560000</v>
      </c>
    </row>
    <row r="421" spans="1:10" ht="17" thickBot="1" x14ac:dyDescent="0.25">
      <c r="A421" s="1" t="s">
        <v>1829</v>
      </c>
      <c r="C421" s="41">
        <v>180000</v>
      </c>
    </row>
    <row r="422" spans="1:10" ht="17" thickBot="1" x14ac:dyDescent="0.25">
      <c r="A422" s="1" t="s">
        <v>1830</v>
      </c>
      <c r="C422" s="114">
        <v>2000</v>
      </c>
      <c r="D422" s="115">
        <f>C422</f>
        <v>2000</v>
      </c>
    </row>
    <row r="423" spans="1:10" ht="17" thickBot="1" x14ac:dyDescent="0.25">
      <c r="A423" s="110" t="s">
        <v>446</v>
      </c>
      <c r="E423" s="116">
        <f>71700-(8000-2000)</f>
        <v>65700</v>
      </c>
      <c r="F423" s="117">
        <f>E423</f>
        <v>65700</v>
      </c>
    </row>
    <row r="424" spans="1:10" ht="17" thickBot="1" x14ac:dyDescent="0.25">
      <c r="A424" s="93" t="s">
        <v>432</v>
      </c>
      <c r="B424" s="112">
        <f>B419+B420-C421-C422</f>
        <v>478000</v>
      </c>
      <c r="C424" s="307"/>
      <c r="D424" s="94"/>
      <c r="E424" s="112">
        <f>B424*15%</f>
        <v>71700</v>
      </c>
      <c r="F424" s="112">
        <f>F423</f>
        <v>65700</v>
      </c>
      <c r="G424" s="95"/>
    </row>
    <row r="426" spans="1:10" x14ac:dyDescent="0.2">
      <c r="A426" s="1" t="s">
        <v>412</v>
      </c>
      <c r="E426" s="2" t="s">
        <v>1815</v>
      </c>
    </row>
    <row r="427" spans="1:10" x14ac:dyDescent="0.2">
      <c r="B427" s="86">
        <v>44196</v>
      </c>
      <c r="C427" s="86">
        <v>44561</v>
      </c>
      <c r="E427" s="13" t="s">
        <v>1816</v>
      </c>
      <c r="F427" s="13"/>
      <c r="G427" s="13"/>
      <c r="H427" s="13"/>
      <c r="I427" s="13"/>
      <c r="J427" s="13"/>
    </row>
    <row r="428" spans="1:10" x14ac:dyDescent="0.2">
      <c r="A428" s="1" t="s">
        <v>413</v>
      </c>
      <c r="B428" s="24">
        <f>B419</f>
        <v>100000</v>
      </c>
      <c r="C428" s="24">
        <f>B424</f>
        <v>478000</v>
      </c>
      <c r="E428" s="13" t="s">
        <v>1817</v>
      </c>
      <c r="F428" s="13"/>
      <c r="G428" s="13"/>
      <c r="H428" s="13"/>
      <c r="I428" s="13"/>
      <c r="J428" s="13"/>
    </row>
    <row r="429" spans="1:10" x14ac:dyDescent="0.2">
      <c r="A429" s="1" t="s">
        <v>386</v>
      </c>
      <c r="B429" s="23">
        <f>-E419</f>
        <v>-8000</v>
      </c>
      <c r="C429" s="23">
        <f>-E424</f>
        <v>-71700</v>
      </c>
      <c r="E429" s="13" t="s">
        <v>1818</v>
      </c>
      <c r="F429" s="13"/>
      <c r="G429" s="13"/>
      <c r="H429" s="13"/>
      <c r="I429" s="13"/>
      <c r="J429" s="13"/>
    </row>
    <row r="430" spans="1:10" x14ac:dyDescent="0.2">
      <c r="A430" s="1" t="s">
        <v>412</v>
      </c>
      <c r="B430" s="89">
        <f>B428+B429</f>
        <v>92000</v>
      </c>
      <c r="C430" s="89">
        <f>C428+C429</f>
        <v>406300</v>
      </c>
      <c r="E430" s="13" t="s">
        <v>1819</v>
      </c>
      <c r="F430" s="13"/>
      <c r="G430" s="13"/>
      <c r="H430" s="13"/>
      <c r="I430" s="13"/>
      <c r="J430" s="13"/>
    </row>
    <row r="431" spans="1:10" x14ac:dyDescent="0.2">
      <c r="E431" s="13" t="s">
        <v>1820</v>
      </c>
      <c r="F431" s="13"/>
      <c r="G431" s="13"/>
      <c r="H431" s="13"/>
      <c r="I431" s="13"/>
      <c r="J431" s="13"/>
    </row>
    <row r="432" spans="1:10" x14ac:dyDescent="0.2">
      <c r="A432" s="1" t="s">
        <v>446</v>
      </c>
      <c r="B432" s="24">
        <f>E418</f>
        <v>8000</v>
      </c>
      <c r="C432" s="24">
        <f>E423</f>
        <v>65700</v>
      </c>
      <c r="E432" s="248">
        <f>E423</f>
        <v>65700</v>
      </c>
      <c r="F432" s="13"/>
      <c r="G432" s="13" t="s">
        <v>1821</v>
      </c>
      <c r="H432" s="13"/>
      <c r="I432" s="13"/>
      <c r="J432" s="13"/>
    </row>
  </sheetData>
  <mergeCells count="25">
    <mergeCell ref="F143:G143"/>
    <mergeCell ref="F78:G78"/>
    <mergeCell ref="F79:G79"/>
    <mergeCell ref="F80:G80"/>
    <mergeCell ref="F81:G81"/>
    <mergeCell ref="F82:G82"/>
    <mergeCell ref="F40:G40"/>
    <mergeCell ref="F41:G41"/>
    <mergeCell ref="F42:G42"/>
    <mergeCell ref="F43:G43"/>
    <mergeCell ref="F44:G44"/>
    <mergeCell ref="F168:G168"/>
    <mergeCell ref="F186:G186"/>
    <mergeCell ref="B346:C346"/>
    <mergeCell ref="D346:E346"/>
    <mergeCell ref="F346:G346"/>
    <mergeCell ref="B414:C414"/>
    <mergeCell ref="D414:E414"/>
    <mergeCell ref="F414:G414"/>
    <mergeCell ref="C351:D351"/>
    <mergeCell ref="C356:D356"/>
    <mergeCell ref="G382:G383"/>
    <mergeCell ref="B391:C391"/>
    <mergeCell ref="D391:E391"/>
    <mergeCell ref="F391:G391"/>
  </mergeCell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54383D-8B41-8145-BED5-7DBE7C738801}">
  <dimension ref="A1:P105"/>
  <sheetViews>
    <sheetView rightToLeft="1" zoomScale="242" workbookViewId="0">
      <selection activeCell="E8" sqref="E8"/>
    </sheetView>
  </sheetViews>
  <sheetFormatPr baseColWidth="10" defaultRowHeight="16" x14ac:dyDescent="0.2"/>
  <cols>
    <col min="1" max="16384" width="10.83203125" style="1"/>
  </cols>
  <sheetData>
    <row r="1" spans="1:8" ht="28" customHeight="1" x14ac:dyDescent="0.2">
      <c r="A1" s="615" t="s">
        <v>1834</v>
      </c>
      <c r="B1" s="616"/>
      <c r="C1" s="616"/>
      <c r="D1" s="616"/>
      <c r="E1" s="616"/>
      <c r="F1" s="616"/>
      <c r="G1" s="616"/>
      <c r="H1" s="616"/>
    </row>
    <row r="2" spans="1:8" x14ac:dyDescent="0.2">
      <c r="A2" s="150"/>
      <c r="B2" s="150"/>
      <c r="C2" s="150"/>
      <c r="D2" s="150"/>
      <c r="E2" s="150"/>
      <c r="F2" s="150"/>
      <c r="G2" s="150"/>
      <c r="H2" s="150"/>
    </row>
    <row r="3" spans="1:8" x14ac:dyDescent="0.2">
      <c r="A3" s="1" t="s">
        <v>1813</v>
      </c>
    </row>
    <row r="4" spans="1:8" x14ac:dyDescent="0.2">
      <c r="A4" s="1" t="s">
        <v>1814</v>
      </c>
    </row>
    <row r="6" spans="1:8" x14ac:dyDescent="0.2">
      <c r="A6" s="2" t="s">
        <v>1802</v>
      </c>
    </row>
    <row r="8" spans="1:8" x14ac:dyDescent="0.2">
      <c r="B8" s="1" t="s">
        <v>1708</v>
      </c>
      <c r="C8" s="1" t="s">
        <v>140</v>
      </c>
    </row>
    <row r="9" spans="1:8" x14ac:dyDescent="0.2">
      <c r="A9" s="1">
        <v>2010</v>
      </c>
      <c r="B9" s="1">
        <f>15000*9/12</f>
        <v>11250</v>
      </c>
      <c r="C9" s="1">
        <v>45000</v>
      </c>
      <c r="D9" s="1" t="s">
        <v>1806</v>
      </c>
    </row>
    <row r="10" spans="1:8" x14ac:dyDescent="0.2">
      <c r="A10" s="1">
        <v>2011</v>
      </c>
      <c r="B10" s="1">
        <v>15000</v>
      </c>
      <c r="C10" s="1">
        <v>0</v>
      </c>
      <c r="D10" s="1" t="s">
        <v>1807</v>
      </c>
    </row>
    <row r="11" spans="1:8" x14ac:dyDescent="0.2">
      <c r="A11" s="1">
        <v>2012</v>
      </c>
      <c r="B11" s="1">
        <v>15000</v>
      </c>
      <c r="C11" s="1">
        <v>0</v>
      </c>
      <c r="D11" s="1" t="s">
        <v>1808</v>
      </c>
    </row>
    <row r="12" spans="1:8" x14ac:dyDescent="0.2">
      <c r="A12" s="1">
        <v>2013</v>
      </c>
      <c r="B12" s="1">
        <f>15000-B9</f>
        <v>3750</v>
      </c>
      <c r="C12" s="1">
        <v>0</v>
      </c>
    </row>
    <row r="14" spans="1:8" x14ac:dyDescent="0.2">
      <c r="B14" s="292" t="s">
        <v>1761</v>
      </c>
      <c r="C14" s="293" t="s">
        <v>1756</v>
      </c>
      <c r="D14" s="294"/>
      <c r="E14" s="294"/>
      <c r="F14" s="295" t="s">
        <v>339</v>
      </c>
      <c r="G14" s="295"/>
    </row>
    <row r="15" spans="1:8" x14ac:dyDescent="0.2">
      <c r="B15" s="292" t="s">
        <v>330</v>
      </c>
      <c r="C15" s="293" t="s">
        <v>334</v>
      </c>
      <c r="D15" s="294"/>
      <c r="E15" s="294"/>
      <c r="F15" s="295" t="s">
        <v>340</v>
      </c>
      <c r="G15" s="295"/>
    </row>
    <row r="16" spans="1:8" x14ac:dyDescent="0.2">
      <c r="B16" s="292" t="s">
        <v>331</v>
      </c>
      <c r="C16" s="293" t="s">
        <v>335</v>
      </c>
      <c r="D16" s="294"/>
      <c r="E16" s="294"/>
      <c r="F16" s="295" t="s">
        <v>341</v>
      </c>
      <c r="G16" s="295"/>
    </row>
    <row r="17" spans="1:7" x14ac:dyDescent="0.2">
      <c r="B17" s="292" t="s">
        <v>332</v>
      </c>
      <c r="C17" s="293" t="s">
        <v>336</v>
      </c>
      <c r="D17" s="294" t="s">
        <v>337</v>
      </c>
      <c r="E17" s="294"/>
      <c r="F17" s="295" t="s">
        <v>342</v>
      </c>
      <c r="G17" s="295"/>
    </row>
    <row r="18" spans="1:7" x14ac:dyDescent="0.2">
      <c r="B18" s="296" t="s">
        <v>333</v>
      </c>
      <c r="C18" s="297" t="s">
        <v>324</v>
      </c>
      <c r="D18" s="298" t="s">
        <v>338</v>
      </c>
      <c r="E18" s="298"/>
      <c r="F18" s="299" t="s">
        <v>343</v>
      </c>
      <c r="G18" s="299"/>
    </row>
    <row r="19" spans="1:7" ht="68" customHeight="1" x14ac:dyDescent="0.2">
      <c r="A19" s="1">
        <v>2010</v>
      </c>
      <c r="B19" s="300" t="s">
        <v>1803</v>
      </c>
      <c r="C19" s="301">
        <v>11.25</v>
      </c>
      <c r="D19" s="614" t="s">
        <v>1805</v>
      </c>
      <c r="E19" s="614"/>
      <c r="F19" s="295" t="s">
        <v>1804</v>
      </c>
      <c r="G19" s="295"/>
    </row>
    <row r="21" spans="1:7" x14ac:dyDescent="0.2">
      <c r="A21" s="2" t="s">
        <v>1809</v>
      </c>
    </row>
    <row r="23" spans="1:7" x14ac:dyDescent="0.2">
      <c r="B23" s="1" t="s">
        <v>1708</v>
      </c>
      <c r="C23" s="1" t="s">
        <v>140</v>
      </c>
    </row>
    <row r="24" spans="1:7" x14ac:dyDescent="0.2">
      <c r="A24" s="1">
        <v>2010</v>
      </c>
      <c r="B24" s="1">
        <v>5000</v>
      </c>
      <c r="C24" s="1">
        <v>10000</v>
      </c>
    </row>
    <row r="25" spans="1:7" x14ac:dyDescent="0.2">
      <c r="A25" s="1">
        <v>2011</v>
      </c>
      <c r="B25" s="1">
        <v>5000</v>
      </c>
      <c r="C25" s="1">
        <v>0</v>
      </c>
    </row>
    <row r="27" spans="1:7" x14ac:dyDescent="0.2">
      <c r="B27" s="292" t="s">
        <v>1761</v>
      </c>
      <c r="C27" s="293" t="s">
        <v>1756</v>
      </c>
      <c r="D27" s="294"/>
      <c r="E27" s="294"/>
      <c r="F27" s="295" t="s">
        <v>339</v>
      </c>
      <c r="G27" s="295"/>
    </row>
    <row r="28" spans="1:7" x14ac:dyDescent="0.2">
      <c r="B28" s="292" t="s">
        <v>330</v>
      </c>
      <c r="C28" s="293" t="s">
        <v>334</v>
      </c>
      <c r="D28" s="294"/>
      <c r="E28" s="294"/>
      <c r="F28" s="295" t="s">
        <v>340</v>
      </c>
      <c r="G28" s="295"/>
    </row>
    <row r="29" spans="1:7" x14ac:dyDescent="0.2">
      <c r="B29" s="292" t="s">
        <v>331</v>
      </c>
      <c r="C29" s="293" t="s">
        <v>335</v>
      </c>
      <c r="D29" s="294"/>
      <c r="E29" s="294"/>
      <c r="F29" s="295" t="s">
        <v>341</v>
      </c>
      <c r="G29" s="295"/>
    </row>
    <row r="30" spans="1:7" x14ac:dyDescent="0.2">
      <c r="B30" s="292" t="s">
        <v>332</v>
      </c>
      <c r="C30" s="293" t="s">
        <v>336</v>
      </c>
      <c r="D30" s="294" t="s">
        <v>337</v>
      </c>
      <c r="E30" s="294"/>
      <c r="F30" s="295" t="s">
        <v>342</v>
      </c>
      <c r="G30" s="295"/>
    </row>
    <row r="31" spans="1:7" x14ac:dyDescent="0.2">
      <c r="B31" s="296" t="s">
        <v>333</v>
      </c>
      <c r="C31" s="297" t="s">
        <v>324</v>
      </c>
      <c r="D31" s="298" t="s">
        <v>338</v>
      </c>
      <c r="E31" s="298"/>
      <c r="F31" s="299" t="s">
        <v>343</v>
      </c>
      <c r="G31" s="299"/>
    </row>
    <row r="32" spans="1:7" ht="32" x14ac:dyDescent="0.2">
      <c r="A32" s="1">
        <v>2010</v>
      </c>
      <c r="B32" s="300" t="s">
        <v>1810</v>
      </c>
      <c r="C32" s="301">
        <v>5</v>
      </c>
      <c r="D32" s="614" t="s">
        <v>1812</v>
      </c>
      <c r="E32" s="614"/>
      <c r="F32" s="295" t="s">
        <v>1811</v>
      </c>
      <c r="G32" s="295"/>
    </row>
    <row r="34" spans="1:1" x14ac:dyDescent="0.2">
      <c r="A34" s="1" t="s">
        <v>1823</v>
      </c>
    </row>
    <row r="35" spans="1:1" x14ac:dyDescent="0.2">
      <c r="A35" s="1" t="s">
        <v>1824</v>
      </c>
    </row>
    <row r="36" spans="1:1" x14ac:dyDescent="0.2">
      <c r="A36" s="1" t="s">
        <v>1825</v>
      </c>
    </row>
    <row r="52" spans="1:16" x14ac:dyDescent="0.2">
      <c r="A52" s="3" t="s">
        <v>1831</v>
      </c>
      <c r="B52" s="3"/>
      <c r="C52" s="3"/>
      <c r="D52" s="3"/>
      <c r="E52" s="3"/>
      <c r="F52" s="3"/>
      <c r="G52" s="3"/>
      <c r="H52" s="3"/>
      <c r="J52" s="1" t="s">
        <v>1832</v>
      </c>
    </row>
    <row r="54" spans="1:16" x14ac:dyDescent="0.2">
      <c r="J54" s="2" t="s">
        <v>1833</v>
      </c>
    </row>
    <row r="56" spans="1:16" x14ac:dyDescent="0.2">
      <c r="J56" s="292" t="s">
        <v>345</v>
      </c>
      <c r="K56" s="3"/>
      <c r="L56" s="293" t="s">
        <v>329</v>
      </c>
      <c r="M56" s="294"/>
      <c r="N56" s="294"/>
      <c r="O56" s="295" t="s">
        <v>339</v>
      </c>
      <c r="P56" s="295"/>
    </row>
    <row r="57" spans="1:16" x14ac:dyDescent="0.2">
      <c r="J57" s="292" t="s">
        <v>330</v>
      </c>
      <c r="K57" s="3"/>
      <c r="L57" s="293" t="s">
        <v>334</v>
      </c>
      <c r="M57" s="294"/>
      <c r="N57" s="294"/>
      <c r="O57" s="295" t="s">
        <v>340</v>
      </c>
      <c r="P57" s="295"/>
    </row>
    <row r="58" spans="1:16" x14ac:dyDescent="0.2">
      <c r="J58" s="292" t="s">
        <v>331</v>
      </c>
      <c r="K58" s="3"/>
      <c r="L58" s="293" t="s">
        <v>335</v>
      </c>
      <c r="M58" s="294"/>
      <c r="N58" s="294"/>
      <c r="O58" s="295" t="s">
        <v>341</v>
      </c>
      <c r="P58" s="295"/>
    </row>
    <row r="59" spans="1:16" x14ac:dyDescent="0.2">
      <c r="J59" s="292" t="s">
        <v>332</v>
      </c>
      <c r="K59" s="3"/>
      <c r="L59" s="293" t="s">
        <v>336</v>
      </c>
      <c r="M59" s="294" t="s">
        <v>337</v>
      </c>
      <c r="N59" s="294"/>
      <c r="O59" s="295" t="s">
        <v>342</v>
      </c>
      <c r="P59" s="295"/>
    </row>
    <row r="60" spans="1:16" x14ac:dyDescent="0.2">
      <c r="J60" s="296" t="s">
        <v>333</v>
      </c>
      <c r="K60" s="73"/>
      <c r="L60" s="297" t="s">
        <v>324</v>
      </c>
      <c r="M60" s="298" t="s">
        <v>338</v>
      </c>
      <c r="N60" s="298"/>
      <c r="O60" s="299" t="s">
        <v>343</v>
      </c>
      <c r="P60" s="299"/>
    </row>
    <row r="61" spans="1:16" x14ac:dyDescent="0.2">
      <c r="I61" s="1">
        <v>2012</v>
      </c>
      <c r="J61" s="1" t="s">
        <v>1835</v>
      </c>
      <c r="L61" s="1">
        <f>600*100</f>
        <v>60000</v>
      </c>
      <c r="M61" s="1" t="s">
        <v>1838</v>
      </c>
      <c r="O61" s="1" t="s">
        <v>1839</v>
      </c>
    </row>
    <row r="62" spans="1:16" x14ac:dyDescent="0.2">
      <c r="J62" s="1" t="s">
        <v>1836</v>
      </c>
      <c r="M62" s="1" t="s">
        <v>1837</v>
      </c>
    </row>
    <row r="63" spans="1:16" x14ac:dyDescent="0.2">
      <c r="I63" s="1">
        <v>2013</v>
      </c>
      <c r="J63" s="1" t="s">
        <v>1840</v>
      </c>
      <c r="L63" s="1">
        <f>400*100+2000*2</f>
        <v>44000</v>
      </c>
      <c r="M63" s="1" t="s">
        <v>1843</v>
      </c>
      <c r="O63" s="1" t="s">
        <v>1844</v>
      </c>
    </row>
    <row r="64" spans="1:16" x14ac:dyDescent="0.2">
      <c r="J64" s="1" t="s">
        <v>1841</v>
      </c>
      <c r="M64" s="1" t="s">
        <v>1842</v>
      </c>
    </row>
    <row r="66" spans="10:10" x14ac:dyDescent="0.2">
      <c r="J66" s="1" t="s">
        <v>1845</v>
      </c>
    </row>
    <row r="67" spans="10:10" x14ac:dyDescent="0.2">
      <c r="J67" s="1" t="s">
        <v>1846</v>
      </c>
    </row>
    <row r="68" spans="10:10" x14ac:dyDescent="0.2">
      <c r="J68" s="1" t="s">
        <v>1847</v>
      </c>
    </row>
    <row r="69" spans="10:10" x14ac:dyDescent="0.2">
      <c r="J69" s="1" t="s">
        <v>1848</v>
      </c>
    </row>
    <row r="70" spans="10:10" x14ac:dyDescent="0.2">
      <c r="J70" s="1" t="s">
        <v>1849</v>
      </c>
    </row>
    <row r="71" spans="10:10" x14ac:dyDescent="0.2">
      <c r="J71" s="1" t="s">
        <v>1850</v>
      </c>
    </row>
    <row r="72" spans="10:10" x14ac:dyDescent="0.2">
      <c r="J72" s="1" t="s">
        <v>1851</v>
      </c>
    </row>
    <row r="73" spans="10:10" x14ac:dyDescent="0.2">
      <c r="J73" s="1" t="s">
        <v>1852</v>
      </c>
    </row>
    <row r="74" spans="10:10" x14ac:dyDescent="0.2">
      <c r="J74" s="1" t="s">
        <v>1853</v>
      </c>
    </row>
    <row r="75" spans="10:10" x14ac:dyDescent="0.2">
      <c r="J75" s="1" t="s">
        <v>1854</v>
      </c>
    </row>
    <row r="76" spans="10:10" x14ac:dyDescent="0.2">
      <c r="J76" s="1" t="s">
        <v>1855</v>
      </c>
    </row>
    <row r="77" spans="10:10" x14ac:dyDescent="0.2">
      <c r="J77" s="1" t="s">
        <v>1856</v>
      </c>
    </row>
    <row r="78" spans="10:10" x14ac:dyDescent="0.2">
      <c r="J78" s="1" t="s">
        <v>1857</v>
      </c>
    </row>
    <row r="79" spans="10:10" x14ac:dyDescent="0.2">
      <c r="J79" s="1" t="s">
        <v>1858</v>
      </c>
    </row>
    <row r="81" spans="9:16" x14ac:dyDescent="0.2">
      <c r="J81" s="2" t="s">
        <v>1859</v>
      </c>
    </row>
    <row r="83" spans="9:16" x14ac:dyDescent="0.2">
      <c r="J83" s="292" t="s">
        <v>1761</v>
      </c>
      <c r="K83" s="3"/>
      <c r="L83" s="293" t="s">
        <v>1756</v>
      </c>
      <c r="M83" s="294"/>
      <c r="N83" s="294"/>
      <c r="O83" s="295" t="s">
        <v>339</v>
      </c>
      <c r="P83" s="295"/>
    </row>
    <row r="84" spans="9:16" x14ac:dyDescent="0.2">
      <c r="J84" s="292" t="s">
        <v>330</v>
      </c>
      <c r="K84" s="3"/>
      <c r="L84" s="293" t="s">
        <v>334</v>
      </c>
      <c r="M84" s="294"/>
      <c r="N84" s="294"/>
      <c r="O84" s="295" t="s">
        <v>340</v>
      </c>
      <c r="P84" s="295"/>
    </row>
    <row r="85" spans="9:16" x14ac:dyDescent="0.2">
      <c r="J85" s="292" t="s">
        <v>331</v>
      </c>
      <c r="K85" s="3"/>
      <c r="L85" s="293" t="s">
        <v>335</v>
      </c>
      <c r="M85" s="294"/>
      <c r="N85" s="294"/>
      <c r="O85" s="295" t="s">
        <v>341</v>
      </c>
      <c r="P85" s="295"/>
    </row>
    <row r="86" spans="9:16" x14ac:dyDescent="0.2">
      <c r="J86" s="292" t="s">
        <v>332</v>
      </c>
      <c r="K86" s="3"/>
      <c r="L86" s="293" t="s">
        <v>336</v>
      </c>
      <c r="M86" s="294" t="s">
        <v>337</v>
      </c>
      <c r="N86" s="294"/>
      <c r="O86" s="295" t="s">
        <v>342</v>
      </c>
      <c r="P86" s="295"/>
    </row>
    <row r="87" spans="9:16" x14ac:dyDescent="0.2">
      <c r="J87" s="296" t="s">
        <v>333</v>
      </c>
      <c r="K87" s="73"/>
      <c r="L87" s="297" t="s">
        <v>324</v>
      </c>
      <c r="M87" s="298" t="s">
        <v>338</v>
      </c>
      <c r="N87" s="298"/>
      <c r="O87" s="299" t="s">
        <v>343</v>
      </c>
      <c r="P87" s="299"/>
    </row>
    <row r="88" spans="9:16" x14ac:dyDescent="0.2">
      <c r="I88" s="1">
        <v>2012</v>
      </c>
      <c r="J88" s="1" t="s">
        <v>1861</v>
      </c>
      <c r="L88" s="1">
        <f>70000*6/12</f>
        <v>35000</v>
      </c>
      <c r="M88" s="1" t="s">
        <v>1864</v>
      </c>
      <c r="O88" s="1" t="s">
        <v>1866</v>
      </c>
    </row>
    <row r="89" spans="9:16" x14ac:dyDescent="0.2">
      <c r="J89" s="1" t="s">
        <v>1860</v>
      </c>
      <c r="M89" s="1" t="s">
        <v>1865</v>
      </c>
    </row>
    <row r="90" spans="9:16" x14ac:dyDescent="0.2">
      <c r="I90" s="1">
        <v>2013</v>
      </c>
      <c r="J90" s="1" t="s">
        <v>1862</v>
      </c>
      <c r="L90" s="1">
        <f>70000*6/12+63000*6/12</f>
        <v>66500</v>
      </c>
      <c r="M90" s="1" t="s">
        <v>1867</v>
      </c>
      <c r="O90" s="1" t="s">
        <v>1869</v>
      </c>
    </row>
    <row r="91" spans="9:16" x14ac:dyDescent="0.2">
      <c r="J91" s="1" t="s">
        <v>1863</v>
      </c>
      <c r="M91" s="1" t="s">
        <v>1868</v>
      </c>
    </row>
    <row r="93" spans="9:16" x14ac:dyDescent="0.2">
      <c r="J93" s="1" t="s">
        <v>355</v>
      </c>
    </row>
    <row r="94" spans="9:16" x14ac:dyDescent="0.2">
      <c r="J94" s="1" t="s">
        <v>1870</v>
      </c>
    </row>
    <row r="95" spans="9:16" x14ac:dyDescent="0.2">
      <c r="J95" s="1" t="s">
        <v>1871</v>
      </c>
    </row>
    <row r="96" spans="9:16" x14ac:dyDescent="0.2">
      <c r="J96" s="1" t="s">
        <v>1872</v>
      </c>
    </row>
    <row r="97" spans="10:10" x14ac:dyDescent="0.2">
      <c r="J97" s="1" t="s">
        <v>1873</v>
      </c>
    </row>
    <row r="98" spans="10:10" x14ac:dyDescent="0.2">
      <c r="J98" s="1" t="s">
        <v>1874</v>
      </c>
    </row>
    <row r="99" spans="10:10" x14ac:dyDescent="0.2">
      <c r="J99" s="1" t="s">
        <v>1875</v>
      </c>
    </row>
    <row r="100" spans="10:10" x14ac:dyDescent="0.2">
      <c r="J100" s="1" t="s">
        <v>1876</v>
      </c>
    </row>
    <row r="101" spans="10:10" x14ac:dyDescent="0.2">
      <c r="J101" s="1" t="s">
        <v>1877</v>
      </c>
    </row>
    <row r="102" spans="10:10" x14ac:dyDescent="0.2">
      <c r="J102" s="1" t="s">
        <v>1878</v>
      </c>
    </row>
    <row r="103" spans="10:10" x14ac:dyDescent="0.2">
      <c r="J103" s="1" t="s">
        <v>1879</v>
      </c>
    </row>
    <row r="104" spans="10:10" x14ac:dyDescent="0.2">
      <c r="J104" s="1" t="s">
        <v>1880</v>
      </c>
    </row>
    <row r="105" spans="10:10" x14ac:dyDescent="0.2">
      <c r="J105" s="1" t="s">
        <v>1881</v>
      </c>
    </row>
  </sheetData>
  <mergeCells count="3">
    <mergeCell ref="D19:E19"/>
    <mergeCell ref="A1:H1"/>
    <mergeCell ref="D32:E32"/>
  </mergeCells>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05641F-8B41-1243-BBAD-87E28875C550}">
  <dimension ref="A1:I239"/>
  <sheetViews>
    <sheetView rightToLeft="1" topLeftCell="A245" zoomScale="241" workbookViewId="0">
      <selection activeCell="A2" sqref="A2"/>
    </sheetView>
  </sheetViews>
  <sheetFormatPr baseColWidth="10" defaultRowHeight="16" x14ac:dyDescent="0.2"/>
  <cols>
    <col min="1" max="16384" width="10.83203125" style="1"/>
  </cols>
  <sheetData>
    <row r="1" spans="1:9" x14ac:dyDescent="0.2">
      <c r="A1" s="616" t="s">
        <v>1882</v>
      </c>
      <c r="B1" s="616"/>
      <c r="C1" s="616"/>
      <c r="D1" s="616"/>
      <c r="E1" s="616"/>
      <c r="F1" s="616"/>
      <c r="G1" s="616"/>
      <c r="H1" s="616"/>
      <c r="I1" s="3"/>
    </row>
    <row r="3" spans="1:9" x14ac:dyDescent="0.2">
      <c r="A3" s="2" t="s">
        <v>451</v>
      </c>
    </row>
    <row r="4" spans="1:9" x14ac:dyDescent="0.2">
      <c r="A4" s="1" t="s">
        <v>452</v>
      </c>
    </row>
    <row r="6" spans="1:9" x14ac:dyDescent="0.2">
      <c r="A6" s="97" t="s">
        <v>453</v>
      </c>
      <c r="B6" s="96"/>
      <c r="C6" s="96"/>
      <c r="D6" s="96"/>
      <c r="E6" s="96"/>
      <c r="F6" s="96"/>
      <c r="G6" s="96"/>
      <c r="H6" s="96"/>
      <c r="I6" s="96"/>
    </row>
    <row r="7" spans="1:9" x14ac:dyDescent="0.2">
      <c r="A7" s="1" t="s">
        <v>454</v>
      </c>
    </row>
    <row r="8" spans="1:9" x14ac:dyDescent="0.2">
      <c r="A8" s="1" t="s">
        <v>455</v>
      </c>
    </row>
    <row r="9" spans="1:9" x14ac:dyDescent="0.2">
      <c r="A9" s="1" t="s">
        <v>464</v>
      </c>
    </row>
    <row r="10" spans="1:9" x14ac:dyDescent="0.2">
      <c r="A10" s="1" t="s">
        <v>457</v>
      </c>
    </row>
    <row r="11" spans="1:9" x14ac:dyDescent="0.2">
      <c r="A11" s="1" t="s">
        <v>456</v>
      </c>
    </row>
    <row r="12" spans="1:9" x14ac:dyDescent="0.2">
      <c r="A12" s="1" t="s">
        <v>458</v>
      </c>
    </row>
    <row r="13" spans="1:9" x14ac:dyDescent="0.2">
      <c r="A13" s="1" t="s">
        <v>459</v>
      </c>
    </row>
    <row r="15" spans="1:9" x14ac:dyDescent="0.2">
      <c r="A15" s="25" t="s">
        <v>328</v>
      </c>
      <c r="B15" s="25" t="s">
        <v>460</v>
      </c>
      <c r="C15" s="25"/>
      <c r="D15" s="25" t="s">
        <v>461</v>
      </c>
      <c r="E15" s="25"/>
      <c r="F15" s="25" t="s">
        <v>462</v>
      </c>
      <c r="G15" s="25"/>
      <c r="H15" s="25" t="s">
        <v>463</v>
      </c>
      <c r="I15" s="25"/>
    </row>
    <row r="16" spans="1:9" x14ac:dyDescent="0.2">
      <c r="A16" s="1">
        <v>2014</v>
      </c>
      <c r="B16" s="1" t="s">
        <v>465</v>
      </c>
      <c r="D16" s="617" t="s">
        <v>467</v>
      </c>
      <c r="E16" s="617"/>
      <c r="F16" s="1" t="s">
        <v>471</v>
      </c>
      <c r="H16" s="1" t="s">
        <v>468</v>
      </c>
      <c r="I16" s="24">
        <v>400000</v>
      </c>
    </row>
    <row r="17" spans="1:9" x14ac:dyDescent="0.2">
      <c r="B17" s="1" t="s">
        <v>466</v>
      </c>
      <c r="F17" s="1" t="s">
        <v>470</v>
      </c>
      <c r="H17" s="2" t="s">
        <v>469</v>
      </c>
    </row>
    <row r="19" spans="1:9" x14ac:dyDescent="0.2">
      <c r="A19" s="1">
        <v>2015</v>
      </c>
      <c r="B19" s="1" t="s">
        <v>472</v>
      </c>
      <c r="D19" s="618" t="s">
        <v>467</v>
      </c>
      <c r="E19" s="618"/>
      <c r="F19" s="1" t="s">
        <v>473</v>
      </c>
      <c r="H19" s="1" t="s">
        <v>468</v>
      </c>
      <c r="I19" s="24">
        <v>200000</v>
      </c>
    </row>
    <row r="20" spans="1:9" x14ac:dyDescent="0.2">
      <c r="F20" s="1" t="s">
        <v>474</v>
      </c>
      <c r="H20" s="2" t="s">
        <v>469</v>
      </c>
    </row>
    <row r="21" spans="1:9" x14ac:dyDescent="0.2">
      <c r="H21" s="2"/>
    </row>
    <row r="22" spans="1:9" x14ac:dyDescent="0.2">
      <c r="A22" s="1">
        <v>2016</v>
      </c>
      <c r="B22" s="1" t="s">
        <v>472</v>
      </c>
      <c r="D22" s="618" t="s">
        <v>467</v>
      </c>
      <c r="E22" s="618"/>
      <c r="F22" s="1" t="s">
        <v>473</v>
      </c>
      <c r="H22" s="1" t="s">
        <v>349</v>
      </c>
      <c r="I22" s="1">
        <v>0</v>
      </c>
    </row>
    <row r="23" spans="1:9" x14ac:dyDescent="0.2">
      <c r="F23" s="1" t="s">
        <v>474</v>
      </c>
    </row>
    <row r="24" spans="1:9" x14ac:dyDescent="0.2">
      <c r="A24" s="97" t="s">
        <v>475</v>
      </c>
      <c r="B24" s="96"/>
      <c r="C24" s="96"/>
      <c r="D24" s="96"/>
      <c r="E24" s="96"/>
      <c r="F24" s="96"/>
      <c r="G24" s="96"/>
      <c r="H24" s="96"/>
      <c r="I24" s="96"/>
    </row>
    <row r="25" spans="1:9" x14ac:dyDescent="0.2">
      <c r="A25" s="1" t="s">
        <v>476</v>
      </c>
    </row>
    <row r="26" spans="1:9" x14ac:dyDescent="0.2">
      <c r="B26" s="1" t="s">
        <v>477</v>
      </c>
      <c r="C26" s="1" t="s">
        <v>478</v>
      </c>
    </row>
    <row r="27" spans="1:9" x14ac:dyDescent="0.2">
      <c r="C27" s="1" t="s">
        <v>479</v>
      </c>
    </row>
    <row r="28" spans="1:9" x14ac:dyDescent="0.2">
      <c r="C28" s="1" t="s">
        <v>480</v>
      </c>
    </row>
    <row r="29" spans="1:9" x14ac:dyDescent="0.2">
      <c r="C29" s="1" t="s">
        <v>481</v>
      </c>
      <c r="E29" s="1" t="s">
        <v>477</v>
      </c>
    </row>
    <row r="31" spans="1:9" x14ac:dyDescent="0.2">
      <c r="A31" s="1" t="s">
        <v>482</v>
      </c>
    </row>
    <row r="32" spans="1:9" x14ac:dyDescent="0.2">
      <c r="B32" s="1" t="s">
        <v>477</v>
      </c>
      <c r="C32" s="1" t="s">
        <v>483</v>
      </c>
    </row>
    <row r="33" spans="1:9" x14ac:dyDescent="0.2">
      <c r="C33" s="1" t="s">
        <v>484</v>
      </c>
    </row>
    <row r="35" spans="1:9" x14ac:dyDescent="0.2">
      <c r="A35" s="1" t="s">
        <v>204</v>
      </c>
    </row>
    <row r="36" spans="1:9" x14ac:dyDescent="0.2">
      <c r="A36" s="1" t="s">
        <v>485</v>
      </c>
    </row>
    <row r="37" spans="1:9" x14ac:dyDescent="0.2">
      <c r="A37" s="1" t="s">
        <v>486</v>
      </c>
    </row>
    <row r="38" spans="1:9" x14ac:dyDescent="0.2">
      <c r="A38" s="1" t="s">
        <v>487</v>
      </c>
    </row>
    <row r="39" spans="1:9" x14ac:dyDescent="0.2">
      <c r="A39" s="1" t="s">
        <v>488</v>
      </c>
    </row>
    <row r="41" spans="1:9" x14ac:dyDescent="0.2">
      <c r="A41" s="97" t="s">
        <v>489</v>
      </c>
      <c r="B41" s="96"/>
      <c r="C41" s="96"/>
      <c r="D41" s="96"/>
      <c r="E41" s="96"/>
      <c r="F41" s="96"/>
      <c r="G41" s="96"/>
      <c r="H41" s="96"/>
      <c r="I41" s="96"/>
    </row>
    <row r="42" spans="1:9" x14ac:dyDescent="0.2">
      <c r="A42" s="1" t="s">
        <v>490</v>
      </c>
    </row>
    <row r="43" spans="1:9" x14ac:dyDescent="0.2">
      <c r="A43" s="1" t="s">
        <v>491</v>
      </c>
    </row>
    <row r="44" spans="1:9" x14ac:dyDescent="0.2">
      <c r="A44" s="1" t="s">
        <v>492</v>
      </c>
    </row>
    <row r="46" spans="1:9" x14ac:dyDescent="0.2">
      <c r="A46" s="2" t="s">
        <v>493</v>
      </c>
    </row>
    <row r="47" spans="1:9" x14ac:dyDescent="0.2">
      <c r="A47" s="1" t="s">
        <v>494</v>
      </c>
    </row>
    <row r="49" spans="1:7" x14ac:dyDescent="0.2">
      <c r="A49" s="1" t="s">
        <v>495</v>
      </c>
    </row>
    <row r="50" spans="1:7" x14ac:dyDescent="0.2">
      <c r="A50" s="1" t="s">
        <v>496</v>
      </c>
    </row>
    <row r="52" spans="1:7" x14ac:dyDescent="0.2">
      <c r="C52" s="1" t="s">
        <v>497</v>
      </c>
    </row>
    <row r="53" spans="1:7" x14ac:dyDescent="0.2">
      <c r="C53" s="1" t="s">
        <v>498</v>
      </c>
    </row>
    <row r="55" spans="1:7" x14ac:dyDescent="0.2">
      <c r="A55" s="1" t="s">
        <v>499</v>
      </c>
    </row>
    <row r="56" spans="1:7" x14ac:dyDescent="0.2">
      <c r="A56" s="1" t="s">
        <v>500</v>
      </c>
    </row>
    <row r="57" spans="1:7" x14ac:dyDescent="0.2">
      <c r="B57" s="1" t="s">
        <v>501</v>
      </c>
      <c r="F57" s="24">
        <v>44000</v>
      </c>
    </row>
    <row r="58" spans="1:7" x14ac:dyDescent="0.2">
      <c r="B58" s="1" t="s">
        <v>502</v>
      </c>
      <c r="F58" s="1">
        <v>11</v>
      </c>
    </row>
    <row r="59" spans="1:7" x14ac:dyDescent="0.2">
      <c r="B59" s="1" t="s">
        <v>503</v>
      </c>
      <c r="F59" s="24">
        <f>F57/F58</f>
        <v>4000</v>
      </c>
      <c r="G59" s="1" t="s">
        <v>504</v>
      </c>
    </row>
    <row r="61" spans="1:7" x14ac:dyDescent="0.2">
      <c r="B61" s="1" t="s">
        <v>505</v>
      </c>
    </row>
    <row r="62" spans="1:7" x14ac:dyDescent="0.2">
      <c r="B62" s="1" t="s">
        <v>506</v>
      </c>
    </row>
    <row r="64" spans="1:7" x14ac:dyDescent="0.2">
      <c r="C64" s="1" t="s">
        <v>507</v>
      </c>
    </row>
    <row r="65" spans="1:9" x14ac:dyDescent="0.2">
      <c r="C65" s="1" t="s">
        <v>508</v>
      </c>
    </row>
    <row r="67" spans="1:9" x14ac:dyDescent="0.2">
      <c r="A67" s="97" t="s">
        <v>509</v>
      </c>
      <c r="B67" s="96"/>
      <c r="C67" s="96"/>
      <c r="D67" s="96"/>
      <c r="E67" s="96"/>
      <c r="F67" s="96"/>
      <c r="G67" s="96"/>
      <c r="H67" s="96"/>
      <c r="I67" s="96"/>
    </row>
    <row r="68" spans="1:9" x14ac:dyDescent="0.2">
      <c r="A68" s="1" t="s">
        <v>510</v>
      </c>
    </row>
    <row r="69" spans="1:9" x14ac:dyDescent="0.2">
      <c r="A69" s="1" t="s">
        <v>511</v>
      </c>
    </row>
    <row r="71" spans="1:9" x14ac:dyDescent="0.2">
      <c r="A71" s="1" t="s">
        <v>204</v>
      </c>
    </row>
    <row r="72" spans="1:9" x14ac:dyDescent="0.2">
      <c r="A72" s="1" t="s">
        <v>512</v>
      </c>
    </row>
    <row r="73" spans="1:9" x14ac:dyDescent="0.2">
      <c r="A73" s="1" t="s">
        <v>513</v>
      </c>
    </row>
    <row r="74" spans="1:9" x14ac:dyDescent="0.2">
      <c r="A74" s="1" t="s">
        <v>514</v>
      </c>
    </row>
    <row r="75" spans="1:9" x14ac:dyDescent="0.2">
      <c r="A75" s="1" t="s">
        <v>515</v>
      </c>
    </row>
    <row r="77" spans="1:9" x14ac:dyDescent="0.2">
      <c r="A77" s="25" t="s">
        <v>328</v>
      </c>
      <c r="B77" s="25" t="s">
        <v>516</v>
      </c>
      <c r="C77" s="25"/>
      <c r="D77" s="25" t="s">
        <v>517</v>
      </c>
      <c r="E77" s="25"/>
      <c r="F77" s="25" t="s">
        <v>518</v>
      </c>
      <c r="G77" s="25"/>
      <c r="H77" s="25" t="s">
        <v>519</v>
      </c>
      <c r="I77" s="25"/>
    </row>
    <row r="78" spans="1:9" x14ac:dyDescent="0.2">
      <c r="A78" s="1">
        <v>2020</v>
      </c>
      <c r="B78" s="1" t="s">
        <v>520</v>
      </c>
      <c r="E78" s="1" t="s">
        <v>535</v>
      </c>
      <c r="F78" s="1" t="s">
        <v>524</v>
      </c>
      <c r="H78" s="1" t="s">
        <v>522</v>
      </c>
      <c r="I78" s="24">
        <f>100000-83333</f>
        <v>16667</v>
      </c>
    </row>
    <row r="79" spans="1:9" x14ac:dyDescent="0.2">
      <c r="B79" s="1" t="s">
        <v>536</v>
      </c>
      <c r="F79" s="1" t="s">
        <v>525</v>
      </c>
      <c r="H79" s="2" t="s">
        <v>523</v>
      </c>
    </row>
    <row r="81" spans="1:9" x14ac:dyDescent="0.2">
      <c r="A81" s="1">
        <v>2021</v>
      </c>
      <c r="B81" s="1" t="s">
        <v>526</v>
      </c>
      <c r="D81" s="1" t="s">
        <v>527</v>
      </c>
      <c r="F81" s="1" t="s">
        <v>539</v>
      </c>
      <c r="H81" s="1" t="s">
        <v>522</v>
      </c>
      <c r="I81" s="24">
        <f>100000+80000-83333-83334</f>
        <v>13333</v>
      </c>
    </row>
    <row r="82" spans="1:9" x14ac:dyDescent="0.2">
      <c r="B82" s="1" t="s">
        <v>537</v>
      </c>
      <c r="D82" s="1" t="s">
        <v>528</v>
      </c>
      <c r="F82" s="1" t="s">
        <v>538</v>
      </c>
      <c r="H82" s="2" t="s">
        <v>523</v>
      </c>
    </row>
    <row r="83" spans="1:9" x14ac:dyDescent="0.2">
      <c r="E83" s="1" t="s">
        <v>529</v>
      </c>
    </row>
    <row r="85" spans="1:9" x14ac:dyDescent="0.2">
      <c r="D85" s="1" t="s">
        <v>530</v>
      </c>
    </row>
    <row r="86" spans="1:9" x14ac:dyDescent="0.2">
      <c r="D86" s="1" t="s">
        <v>531</v>
      </c>
    </row>
    <row r="87" spans="1:9" x14ac:dyDescent="0.2">
      <c r="E87" s="1" t="s">
        <v>532</v>
      </c>
    </row>
    <row r="89" spans="1:9" x14ac:dyDescent="0.2">
      <c r="D89" s="1" t="s">
        <v>533</v>
      </c>
    </row>
    <row r="90" spans="1:9" x14ac:dyDescent="0.2">
      <c r="E90" s="1" t="s">
        <v>534</v>
      </c>
    </row>
    <row r="91" spans="1:9" x14ac:dyDescent="0.2">
      <c r="D91" s="98">
        <f>16667+66667</f>
        <v>83334</v>
      </c>
    </row>
    <row r="93" spans="1:9" x14ac:dyDescent="0.2">
      <c r="A93" s="97" t="s">
        <v>540</v>
      </c>
      <c r="B93" s="96"/>
      <c r="C93" s="96"/>
      <c r="D93" s="96"/>
      <c r="E93" s="96"/>
      <c r="F93" s="96"/>
      <c r="G93" s="96"/>
      <c r="H93" s="96"/>
      <c r="I93" s="96"/>
    </row>
    <row r="94" spans="1:9" x14ac:dyDescent="0.2">
      <c r="A94" s="1" t="s">
        <v>541</v>
      </c>
    </row>
    <row r="95" spans="1:9" x14ac:dyDescent="0.2">
      <c r="A95" s="1" t="s">
        <v>542</v>
      </c>
    </row>
    <row r="96" spans="1:9" x14ac:dyDescent="0.2">
      <c r="A96" s="1" t="s">
        <v>543</v>
      </c>
    </row>
    <row r="97" spans="1:9" x14ac:dyDescent="0.2">
      <c r="A97" s="1" t="s">
        <v>544</v>
      </c>
    </row>
    <row r="98" spans="1:9" x14ac:dyDescent="0.2">
      <c r="A98" s="1" t="s">
        <v>545</v>
      </c>
    </row>
    <row r="99" spans="1:9" x14ac:dyDescent="0.2">
      <c r="A99" s="2" t="s">
        <v>546</v>
      </c>
    </row>
    <row r="101" spans="1:9" ht="17" thickBot="1" x14ac:dyDescent="0.25">
      <c r="A101" s="1" t="s">
        <v>328</v>
      </c>
      <c r="B101" s="1" t="s">
        <v>547</v>
      </c>
      <c r="D101" s="1" t="s">
        <v>548</v>
      </c>
      <c r="F101" s="1" t="s">
        <v>337</v>
      </c>
      <c r="H101" s="1" t="s">
        <v>463</v>
      </c>
    </row>
    <row r="102" spans="1:9" x14ac:dyDescent="0.2">
      <c r="A102" s="18">
        <v>2020</v>
      </c>
      <c r="B102" s="100" t="s">
        <v>549</v>
      </c>
      <c r="C102" s="100"/>
      <c r="D102" s="100"/>
      <c r="E102" s="100" t="s">
        <v>556</v>
      </c>
      <c r="F102" s="100" t="s">
        <v>566</v>
      </c>
      <c r="G102" s="100"/>
      <c r="H102" s="100" t="s">
        <v>564</v>
      </c>
      <c r="I102" s="101">
        <f>D103</f>
        <v>30000</v>
      </c>
    </row>
    <row r="103" spans="1:9" ht="17" thickBot="1" x14ac:dyDescent="0.25">
      <c r="A103" s="20"/>
      <c r="B103" s="102">
        <v>0</v>
      </c>
      <c r="C103" s="103"/>
      <c r="D103" s="104">
        <f>40000/12*9</f>
        <v>30000</v>
      </c>
      <c r="E103" s="103"/>
      <c r="F103" s="103" t="s">
        <v>567</v>
      </c>
      <c r="G103" s="103"/>
      <c r="H103" s="103" t="s">
        <v>469</v>
      </c>
      <c r="I103" s="21"/>
    </row>
    <row r="104" spans="1:9" ht="17" thickBot="1" x14ac:dyDescent="0.25">
      <c r="D104" s="99"/>
      <c r="F104" s="12"/>
      <c r="G104" s="12"/>
    </row>
    <row r="105" spans="1:9" x14ac:dyDescent="0.2">
      <c r="A105" s="18">
        <v>2021</v>
      </c>
      <c r="B105" s="100" t="s">
        <v>550</v>
      </c>
      <c r="C105" s="100"/>
      <c r="D105" s="100" t="s">
        <v>557</v>
      </c>
      <c r="E105" s="100"/>
      <c r="F105" s="105" t="s">
        <v>568</v>
      </c>
      <c r="G105" s="105"/>
      <c r="H105" s="105" t="s">
        <v>565</v>
      </c>
      <c r="I105" s="101">
        <f>C113-D103-E115</f>
        <v>15000</v>
      </c>
    </row>
    <row r="106" spans="1:9" x14ac:dyDescent="0.2">
      <c r="A106" s="106"/>
      <c r="B106" s="1" t="s">
        <v>551</v>
      </c>
      <c r="D106" s="1" t="s">
        <v>558</v>
      </c>
      <c r="F106" s="13" t="s">
        <v>570</v>
      </c>
      <c r="G106" s="13"/>
      <c r="H106" s="1" t="s">
        <v>571</v>
      </c>
      <c r="I106" s="107"/>
    </row>
    <row r="107" spans="1:9" x14ac:dyDescent="0.2">
      <c r="A107" s="106"/>
      <c r="B107" s="1" t="s">
        <v>552</v>
      </c>
      <c r="E107" s="1" t="s">
        <v>559</v>
      </c>
      <c r="F107" s="1" t="s">
        <v>569</v>
      </c>
      <c r="I107" s="107"/>
    </row>
    <row r="108" spans="1:9" x14ac:dyDescent="0.2">
      <c r="A108" s="106"/>
      <c r="C108" s="24">
        <v>40000</v>
      </c>
      <c r="D108" s="24">
        <v>10000</v>
      </c>
      <c r="I108" s="107"/>
    </row>
    <row r="109" spans="1:9" x14ac:dyDescent="0.2">
      <c r="A109" s="106"/>
      <c r="B109" s="1" t="s">
        <v>553</v>
      </c>
      <c r="I109" s="107"/>
    </row>
    <row r="110" spans="1:9" x14ac:dyDescent="0.2">
      <c r="A110" s="106"/>
      <c r="B110" s="1" t="s">
        <v>554</v>
      </c>
      <c r="D110" s="1" t="s">
        <v>560</v>
      </c>
      <c r="I110" s="107"/>
    </row>
    <row r="111" spans="1:9" x14ac:dyDescent="0.2">
      <c r="A111" s="106"/>
      <c r="C111" s="24">
        <v>60000</v>
      </c>
      <c r="D111" s="1" t="s">
        <v>561</v>
      </c>
      <c r="I111" s="107"/>
    </row>
    <row r="112" spans="1:9" x14ac:dyDescent="0.2">
      <c r="A112" s="106"/>
      <c r="E112" s="1" t="s">
        <v>562</v>
      </c>
      <c r="I112" s="107"/>
    </row>
    <row r="113" spans="1:9" x14ac:dyDescent="0.2">
      <c r="A113" s="106"/>
      <c r="B113" s="42" t="s">
        <v>281</v>
      </c>
      <c r="C113" s="108">
        <v>100000</v>
      </c>
      <c r="D113" s="109">
        <f>60000/12*9</f>
        <v>45000</v>
      </c>
      <c r="I113" s="107"/>
    </row>
    <row r="114" spans="1:9" x14ac:dyDescent="0.2">
      <c r="A114" s="106"/>
      <c r="I114" s="107"/>
    </row>
    <row r="115" spans="1:9" x14ac:dyDescent="0.2">
      <c r="A115" s="106"/>
      <c r="B115" s="1" t="s">
        <v>555</v>
      </c>
      <c r="D115" s="110" t="s">
        <v>563</v>
      </c>
      <c r="E115" s="111">
        <f>D113+D108</f>
        <v>55000</v>
      </c>
      <c r="I115" s="107"/>
    </row>
    <row r="116" spans="1:9" ht="17" thickBot="1" x14ac:dyDescent="0.25">
      <c r="A116" s="20"/>
      <c r="B116" s="103" t="s">
        <v>521</v>
      </c>
      <c r="C116" s="103"/>
      <c r="D116" s="103"/>
      <c r="E116" s="103"/>
      <c r="F116" s="103"/>
      <c r="G116" s="103"/>
      <c r="H116" s="103"/>
      <c r="I116" s="21"/>
    </row>
    <row r="118" spans="1:9" x14ac:dyDescent="0.2">
      <c r="A118" s="97" t="s">
        <v>572</v>
      </c>
      <c r="B118" s="96"/>
      <c r="C118" s="96"/>
      <c r="D118" s="96"/>
      <c r="E118" s="96"/>
      <c r="F118" s="96"/>
      <c r="G118" s="96"/>
      <c r="H118" s="96"/>
      <c r="I118" s="96"/>
    </row>
    <row r="119" spans="1:9" x14ac:dyDescent="0.2">
      <c r="A119" s="1" t="s">
        <v>573</v>
      </c>
    </row>
    <row r="120" spans="1:9" x14ac:dyDescent="0.2">
      <c r="A120" s="1" t="s">
        <v>574</v>
      </c>
    </row>
    <row r="121" spans="1:9" x14ac:dyDescent="0.2">
      <c r="A121" s="1" t="s">
        <v>575</v>
      </c>
    </row>
    <row r="122" spans="1:9" x14ac:dyDescent="0.2">
      <c r="A122" s="1" t="s">
        <v>576</v>
      </c>
    </row>
    <row r="123" spans="1:9" x14ac:dyDescent="0.2">
      <c r="A123" s="1" t="s">
        <v>577</v>
      </c>
    </row>
    <row r="125" spans="1:9" x14ac:dyDescent="0.2">
      <c r="A125" s="1" t="s">
        <v>578</v>
      </c>
    </row>
    <row r="126" spans="1:9" x14ac:dyDescent="0.2">
      <c r="A126" s="1" t="s">
        <v>579</v>
      </c>
    </row>
    <row r="127" spans="1:9" x14ac:dyDescent="0.2">
      <c r="A127" s="1" t="s">
        <v>580</v>
      </c>
      <c r="D127" s="1" t="s">
        <v>583</v>
      </c>
    </row>
    <row r="128" spans="1:9" x14ac:dyDescent="0.2">
      <c r="A128" s="1" t="s">
        <v>581</v>
      </c>
      <c r="D128" s="1" t="s">
        <v>584</v>
      </c>
    </row>
    <row r="129" spans="1:7" x14ac:dyDescent="0.2">
      <c r="A129" s="1" t="s">
        <v>582</v>
      </c>
      <c r="D129" s="1" t="s">
        <v>585</v>
      </c>
    </row>
    <row r="131" spans="1:7" x14ac:dyDescent="0.2">
      <c r="B131" s="581" t="s">
        <v>385</v>
      </c>
      <c r="C131" s="581"/>
      <c r="D131" s="581" t="s">
        <v>386</v>
      </c>
      <c r="E131" s="581"/>
      <c r="F131" s="581" t="s">
        <v>402</v>
      </c>
      <c r="G131" s="581"/>
    </row>
    <row r="132" spans="1:7" ht="17" thickBot="1" x14ac:dyDescent="0.25">
      <c r="A132" s="25" t="s">
        <v>403</v>
      </c>
      <c r="B132" s="36" t="s">
        <v>162</v>
      </c>
      <c r="C132" s="36" t="s">
        <v>163</v>
      </c>
      <c r="D132" s="36" t="s">
        <v>162</v>
      </c>
      <c r="E132" s="36" t="s">
        <v>163</v>
      </c>
      <c r="F132" s="36" t="s">
        <v>162</v>
      </c>
      <c r="G132" s="36" t="s">
        <v>163</v>
      </c>
    </row>
    <row r="133" spans="1:7" ht="17" thickBot="1" x14ac:dyDescent="0.25">
      <c r="A133" s="93" t="s">
        <v>416</v>
      </c>
      <c r="B133" s="112">
        <v>40000</v>
      </c>
      <c r="C133" s="113">
        <v>0.05</v>
      </c>
      <c r="D133" s="94"/>
      <c r="E133" s="112">
        <f>C133*B133</f>
        <v>2000</v>
      </c>
      <c r="F133" s="94"/>
      <c r="G133" s="95"/>
    </row>
    <row r="134" spans="1:7" x14ac:dyDescent="0.2">
      <c r="A134" s="1" t="s">
        <v>586</v>
      </c>
      <c r="B134" s="41">
        <v>100000</v>
      </c>
      <c r="C134" s="6"/>
    </row>
    <row r="135" spans="1:7" ht="17" thickBot="1" x14ac:dyDescent="0.25">
      <c r="A135" s="1" t="s">
        <v>587</v>
      </c>
      <c r="B135" s="6"/>
      <c r="C135" s="41">
        <v>80000</v>
      </c>
    </row>
    <row r="136" spans="1:7" ht="17" thickBot="1" x14ac:dyDescent="0.25">
      <c r="A136" s="1" t="s">
        <v>588</v>
      </c>
      <c r="C136" s="114">
        <v>1000</v>
      </c>
      <c r="D136" s="115">
        <f>C136</f>
        <v>1000</v>
      </c>
    </row>
    <row r="137" spans="1:7" ht="17" thickBot="1" x14ac:dyDescent="0.25">
      <c r="A137" s="1" t="s">
        <v>402</v>
      </c>
      <c r="E137" s="116">
        <v>1950</v>
      </c>
      <c r="F137" s="117">
        <f>E137</f>
        <v>1950</v>
      </c>
    </row>
    <row r="138" spans="1:7" ht="17" thickBot="1" x14ac:dyDescent="0.25">
      <c r="A138" s="93" t="s">
        <v>432</v>
      </c>
      <c r="B138" s="112">
        <f>B133+B134-C135-C136</f>
        <v>59000</v>
      </c>
      <c r="C138" s="113">
        <v>0.05</v>
      </c>
      <c r="D138" s="94"/>
      <c r="E138" s="112">
        <f>5%*B138</f>
        <v>2950</v>
      </c>
      <c r="F138" s="112">
        <f>F137</f>
        <v>1950</v>
      </c>
      <c r="G138" s="95"/>
    </row>
    <row r="139" spans="1:7" x14ac:dyDescent="0.2">
      <c r="B139" s="6" t="s">
        <v>589</v>
      </c>
      <c r="C139" s="6"/>
      <c r="D139" s="6"/>
      <c r="E139" s="6" t="s">
        <v>590</v>
      </c>
      <c r="F139" s="6" t="s">
        <v>591</v>
      </c>
    </row>
    <row r="141" spans="1:7" x14ac:dyDescent="0.2">
      <c r="A141" s="1" t="s">
        <v>412</v>
      </c>
    </row>
    <row r="142" spans="1:7" x14ac:dyDescent="0.2">
      <c r="B142" s="1" t="s">
        <v>592</v>
      </c>
      <c r="D142" s="24">
        <v>59000</v>
      </c>
    </row>
    <row r="143" spans="1:7" ht="17" thickBot="1" x14ac:dyDescent="0.25">
      <c r="B143" s="1" t="s">
        <v>386</v>
      </c>
      <c r="D143" s="24">
        <f>-E138</f>
        <v>-2950</v>
      </c>
    </row>
    <row r="144" spans="1:7" ht="17" thickBot="1" x14ac:dyDescent="0.25">
      <c r="B144" s="1" t="s">
        <v>412</v>
      </c>
      <c r="D144" s="26">
        <f>D142+D143</f>
        <v>56050</v>
      </c>
      <c r="E144" s="1" t="s">
        <v>593</v>
      </c>
    </row>
    <row r="146" spans="1:9" x14ac:dyDescent="0.2">
      <c r="A146" s="1" t="s">
        <v>594</v>
      </c>
    </row>
    <row r="147" spans="1:9" x14ac:dyDescent="0.2">
      <c r="A147" s="1" t="s">
        <v>595</v>
      </c>
    </row>
    <row r="148" spans="1:9" x14ac:dyDescent="0.2">
      <c r="A148" s="1" t="s">
        <v>596</v>
      </c>
    </row>
    <row r="149" spans="1:9" x14ac:dyDescent="0.2">
      <c r="A149" s="1" t="s">
        <v>597</v>
      </c>
    </row>
    <row r="150" spans="1:9" x14ac:dyDescent="0.2">
      <c r="A150" s="1" t="s">
        <v>598</v>
      </c>
    </row>
    <row r="151" spans="1:9" x14ac:dyDescent="0.2">
      <c r="A151" s="1" t="s">
        <v>599</v>
      </c>
    </row>
    <row r="153" spans="1:9" x14ac:dyDescent="0.2">
      <c r="A153" s="97" t="s">
        <v>600</v>
      </c>
      <c r="B153" s="96"/>
      <c r="C153" s="96"/>
      <c r="D153" s="96"/>
      <c r="E153" s="96"/>
      <c r="F153" s="96"/>
      <c r="G153" s="96"/>
      <c r="H153" s="96"/>
      <c r="I153" s="96"/>
    </row>
    <row r="154" spans="1:9" x14ac:dyDescent="0.2">
      <c r="A154" s="1" t="s">
        <v>573</v>
      </c>
    </row>
    <row r="155" spans="1:9" x14ac:dyDescent="0.2">
      <c r="A155" s="1" t="s">
        <v>601</v>
      </c>
    </row>
    <row r="156" spans="1:9" x14ac:dyDescent="0.2">
      <c r="A156" s="1" t="s">
        <v>602</v>
      </c>
    </row>
    <row r="157" spans="1:9" x14ac:dyDescent="0.2">
      <c r="A157" s="1" t="s">
        <v>603</v>
      </c>
    </row>
    <row r="158" spans="1:9" x14ac:dyDescent="0.2">
      <c r="A158" s="1" t="s">
        <v>604</v>
      </c>
    </row>
    <row r="159" spans="1:9" x14ac:dyDescent="0.2">
      <c r="A159" s="1" t="s">
        <v>605</v>
      </c>
    </row>
    <row r="161" spans="1:7" x14ac:dyDescent="0.2">
      <c r="A161" s="1" t="s">
        <v>578</v>
      </c>
    </row>
    <row r="162" spans="1:7" x14ac:dyDescent="0.2">
      <c r="A162" s="1" t="s">
        <v>579</v>
      </c>
    </row>
    <row r="163" spans="1:7" x14ac:dyDescent="0.2">
      <c r="A163" s="1" t="s">
        <v>580</v>
      </c>
      <c r="D163" s="1" t="s">
        <v>583</v>
      </c>
    </row>
    <row r="164" spans="1:7" x14ac:dyDescent="0.2">
      <c r="A164" s="1" t="s">
        <v>581</v>
      </c>
      <c r="D164" s="1" t="s">
        <v>584</v>
      </c>
    </row>
    <row r="165" spans="1:7" x14ac:dyDescent="0.2">
      <c r="A165" s="2" t="s">
        <v>582</v>
      </c>
      <c r="B165" s="2"/>
      <c r="C165" s="2"/>
      <c r="D165" s="2" t="s">
        <v>585</v>
      </c>
    </row>
    <row r="167" spans="1:7" x14ac:dyDescent="0.2">
      <c r="B167" s="581" t="s">
        <v>385</v>
      </c>
      <c r="C167" s="581"/>
      <c r="D167" s="581" t="s">
        <v>386</v>
      </c>
      <c r="E167" s="581"/>
      <c r="F167" s="581" t="s">
        <v>402</v>
      </c>
      <c r="G167" s="581"/>
    </row>
    <row r="168" spans="1:7" ht="17" thickBot="1" x14ac:dyDescent="0.25">
      <c r="A168" s="25" t="s">
        <v>403</v>
      </c>
      <c r="B168" s="36" t="s">
        <v>162</v>
      </c>
      <c r="C168" s="36" t="s">
        <v>163</v>
      </c>
      <c r="D168" s="36" t="s">
        <v>162</v>
      </c>
      <c r="E168" s="36" t="s">
        <v>163</v>
      </c>
      <c r="F168" s="36" t="s">
        <v>162</v>
      </c>
      <c r="G168" s="36" t="s">
        <v>163</v>
      </c>
    </row>
    <row r="169" spans="1:7" ht="17" thickBot="1" x14ac:dyDescent="0.25">
      <c r="A169" s="93" t="s">
        <v>416</v>
      </c>
      <c r="B169" s="112">
        <v>100000</v>
      </c>
      <c r="C169" s="113">
        <v>0.05</v>
      </c>
      <c r="D169" s="94"/>
      <c r="E169" s="112">
        <f>B169*C169</f>
        <v>5000</v>
      </c>
      <c r="F169" s="94"/>
      <c r="G169" s="95"/>
    </row>
    <row r="170" spans="1:7" x14ac:dyDescent="0.2">
      <c r="A170" s="1" t="s">
        <v>586</v>
      </c>
      <c r="B170" s="41">
        <v>90000</v>
      </c>
      <c r="C170" s="6"/>
    </row>
    <row r="171" spans="1:7" ht="17" thickBot="1" x14ac:dyDescent="0.25">
      <c r="A171" s="1" t="s">
        <v>587</v>
      </c>
      <c r="B171" s="6"/>
      <c r="C171" s="41">
        <v>40000</v>
      </c>
    </row>
    <row r="172" spans="1:7" ht="17" thickBot="1" x14ac:dyDescent="0.25">
      <c r="A172" s="1" t="s">
        <v>588</v>
      </c>
      <c r="C172" s="114">
        <v>4000</v>
      </c>
      <c r="D172" s="115">
        <v>4000</v>
      </c>
    </row>
    <row r="173" spans="1:7" ht="17" thickBot="1" x14ac:dyDescent="0.25">
      <c r="A173" s="1" t="s">
        <v>402</v>
      </c>
      <c r="E173" s="116">
        <v>13600</v>
      </c>
      <c r="F173" s="117">
        <f>E173</f>
        <v>13600</v>
      </c>
    </row>
    <row r="174" spans="1:7" ht="17" thickBot="1" x14ac:dyDescent="0.25">
      <c r="A174" s="93" t="s">
        <v>432</v>
      </c>
      <c r="B174" s="112">
        <f>B169+B170-C171-C172</f>
        <v>146000</v>
      </c>
      <c r="C174" s="113">
        <v>0.1</v>
      </c>
      <c r="D174" s="94"/>
      <c r="E174" s="112">
        <f>B174*C174</f>
        <v>14600</v>
      </c>
      <c r="F174" s="112">
        <f>F173</f>
        <v>13600</v>
      </c>
      <c r="G174" s="95"/>
    </row>
    <row r="175" spans="1:7" x14ac:dyDescent="0.2">
      <c r="B175" s="6"/>
      <c r="C175" s="6"/>
      <c r="D175" s="6"/>
      <c r="E175" s="6"/>
      <c r="F175" s="6"/>
    </row>
    <row r="177" spans="1:9" x14ac:dyDescent="0.2">
      <c r="A177" s="1" t="s">
        <v>412</v>
      </c>
    </row>
    <row r="178" spans="1:9" x14ac:dyDescent="0.2">
      <c r="B178" s="1" t="s">
        <v>592</v>
      </c>
      <c r="D178" s="24">
        <f>B174</f>
        <v>146000</v>
      </c>
    </row>
    <row r="179" spans="1:9" ht="17" thickBot="1" x14ac:dyDescent="0.25">
      <c r="B179" s="1" t="s">
        <v>386</v>
      </c>
      <c r="D179" s="24">
        <f>-E174</f>
        <v>-14600</v>
      </c>
    </row>
    <row r="180" spans="1:9" ht="17" thickBot="1" x14ac:dyDescent="0.25">
      <c r="B180" s="1" t="s">
        <v>412</v>
      </c>
      <c r="D180" s="26">
        <f>D178+D179</f>
        <v>131400</v>
      </c>
      <c r="E180" s="1" t="s">
        <v>593</v>
      </c>
    </row>
    <row r="182" spans="1:9" x14ac:dyDescent="0.2">
      <c r="A182" s="1" t="s">
        <v>84</v>
      </c>
      <c r="B182" s="1" t="s">
        <v>606</v>
      </c>
    </row>
    <row r="183" spans="1:9" x14ac:dyDescent="0.2">
      <c r="B183" s="1" t="s">
        <v>607</v>
      </c>
    </row>
    <row r="184" spans="1:9" x14ac:dyDescent="0.2">
      <c r="B184" s="1" t="s">
        <v>608</v>
      </c>
    </row>
    <row r="185" spans="1:9" x14ac:dyDescent="0.2">
      <c r="B185" s="1" t="s">
        <v>609</v>
      </c>
    </row>
    <row r="186" spans="1:9" x14ac:dyDescent="0.2">
      <c r="B186" s="1" t="s">
        <v>610</v>
      </c>
    </row>
    <row r="188" spans="1:9" x14ac:dyDescent="0.2">
      <c r="B188" s="1" t="s">
        <v>611</v>
      </c>
    </row>
    <row r="189" spans="1:9" x14ac:dyDescent="0.2">
      <c r="B189" s="1" t="s">
        <v>612</v>
      </c>
    </row>
    <row r="191" spans="1:9" x14ac:dyDescent="0.2">
      <c r="A191" s="97" t="s">
        <v>613</v>
      </c>
      <c r="B191" s="96"/>
      <c r="C191" s="96"/>
      <c r="D191" s="96"/>
      <c r="E191" s="96"/>
      <c r="F191" s="96"/>
      <c r="G191" s="96"/>
      <c r="H191" s="96"/>
      <c r="I191" s="96"/>
    </row>
    <row r="192" spans="1:9" x14ac:dyDescent="0.2">
      <c r="A192" s="1" t="s">
        <v>614</v>
      </c>
    </row>
    <row r="193" spans="1:7" x14ac:dyDescent="0.2">
      <c r="A193" s="1" t="s">
        <v>615</v>
      </c>
    </row>
    <row r="194" spans="1:7" x14ac:dyDescent="0.2">
      <c r="A194" s="1" t="s">
        <v>616</v>
      </c>
    </row>
    <row r="195" spans="1:7" x14ac:dyDescent="0.2">
      <c r="A195" s="1" t="s">
        <v>617</v>
      </c>
    </row>
    <row r="196" spans="1:7" x14ac:dyDescent="0.2">
      <c r="A196" s="1" t="s">
        <v>618</v>
      </c>
    </row>
    <row r="198" spans="1:7" x14ac:dyDescent="0.2">
      <c r="B198" s="581" t="s">
        <v>385</v>
      </c>
      <c r="C198" s="581"/>
      <c r="D198" s="581" t="s">
        <v>386</v>
      </c>
      <c r="E198" s="581"/>
      <c r="F198" s="581" t="s">
        <v>402</v>
      </c>
      <c r="G198" s="581"/>
    </row>
    <row r="199" spans="1:7" ht="17" thickBot="1" x14ac:dyDescent="0.25">
      <c r="A199" s="25" t="s">
        <v>403</v>
      </c>
      <c r="B199" s="36" t="s">
        <v>162</v>
      </c>
      <c r="C199" s="36" t="s">
        <v>163</v>
      </c>
      <c r="D199" s="36" t="s">
        <v>162</v>
      </c>
      <c r="E199" s="36" t="s">
        <v>163</v>
      </c>
      <c r="F199" s="36" t="s">
        <v>162</v>
      </c>
      <c r="G199" s="36" t="s">
        <v>163</v>
      </c>
    </row>
    <row r="200" spans="1:7" ht="17" thickBot="1" x14ac:dyDescent="0.25">
      <c r="A200" s="93" t="s">
        <v>416</v>
      </c>
      <c r="B200" s="112">
        <v>100000</v>
      </c>
      <c r="C200" s="113">
        <v>0.1</v>
      </c>
      <c r="D200" s="94"/>
      <c r="E200" s="112">
        <f>B200*C200</f>
        <v>10000</v>
      </c>
      <c r="F200" s="94"/>
      <c r="G200" s="95"/>
    </row>
    <row r="201" spans="1:7" x14ac:dyDescent="0.2">
      <c r="A201" s="1" t="s">
        <v>586</v>
      </c>
      <c r="B201" s="41" t="s">
        <v>624</v>
      </c>
      <c r="C201" s="6"/>
    </row>
    <row r="202" spans="1:7" ht="17" thickBot="1" x14ac:dyDescent="0.25">
      <c r="A202" s="1" t="s">
        <v>587</v>
      </c>
      <c r="B202" s="6" t="s">
        <v>624</v>
      </c>
      <c r="C202" s="41"/>
    </row>
    <row r="203" spans="1:7" ht="17" thickBot="1" x14ac:dyDescent="0.25">
      <c r="A203" s="1" t="s">
        <v>588</v>
      </c>
      <c r="C203" s="114">
        <v>4000</v>
      </c>
      <c r="D203" s="115">
        <f>C203</f>
        <v>4000</v>
      </c>
    </row>
    <row r="204" spans="1:7" ht="17" thickBot="1" x14ac:dyDescent="0.25">
      <c r="A204" s="1" t="s">
        <v>402</v>
      </c>
      <c r="E204" s="116">
        <v>9000</v>
      </c>
      <c r="F204" s="117">
        <f>E204</f>
        <v>9000</v>
      </c>
    </row>
    <row r="205" spans="1:7" ht="17" thickBot="1" x14ac:dyDescent="0.25">
      <c r="A205" s="93" t="s">
        <v>432</v>
      </c>
      <c r="B205" s="112">
        <v>150000</v>
      </c>
      <c r="C205" s="113">
        <v>0.1</v>
      </c>
      <c r="D205" s="94"/>
      <c r="E205" s="112">
        <f>B205*C205</f>
        <v>15000</v>
      </c>
      <c r="F205" s="112"/>
      <c r="G205" s="95"/>
    </row>
    <row r="207" spans="1:7" x14ac:dyDescent="0.2">
      <c r="A207" s="1" t="s">
        <v>619</v>
      </c>
    </row>
    <row r="208" spans="1:7" x14ac:dyDescent="0.2">
      <c r="A208" s="1" t="s">
        <v>620</v>
      </c>
    </row>
    <row r="209" spans="1:9" x14ac:dyDescent="0.2">
      <c r="A209" s="1" t="s">
        <v>621</v>
      </c>
    </row>
    <row r="210" spans="1:9" x14ac:dyDescent="0.2">
      <c r="A210" s="1" t="s">
        <v>622</v>
      </c>
    </row>
    <row r="211" spans="1:9" x14ac:dyDescent="0.2">
      <c r="A211" s="1" t="s">
        <v>623</v>
      </c>
    </row>
    <row r="213" spans="1:9" x14ac:dyDescent="0.2">
      <c r="A213" s="2" t="s">
        <v>625</v>
      </c>
    </row>
    <row r="215" spans="1:9" x14ac:dyDescent="0.2">
      <c r="A215" s="97" t="s">
        <v>626</v>
      </c>
      <c r="B215" s="96"/>
      <c r="C215" s="96"/>
      <c r="D215" s="96"/>
      <c r="E215" s="96"/>
      <c r="F215" s="96"/>
      <c r="G215" s="96"/>
      <c r="H215" s="96"/>
      <c r="I215" s="96"/>
    </row>
    <row r="216" spans="1:9" x14ac:dyDescent="0.2">
      <c r="A216" s="1" t="s">
        <v>627</v>
      </c>
    </row>
    <row r="218" spans="1:9" x14ac:dyDescent="0.2">
      <c r="D218" s="36" t="s">
        <v>416</v>
      </c>
      <c r="E218" s="36" t="s">
        <v>432</v>
      </c>
      <c r="F218" s="36" t="s">
        <v>628</v>
      </c>
    </row>
    <row r="219" spans="1:9" x14ac:dyDescent="0.2">
      <c r="B219" s="1" t="s">
        <v>385</v>
      </c>
      <c r="D219" s="41">
        <v>100000</v>
      </c>
      <c r="E219" s="41">
        <v>200000</v>
      </c>
      <c r="F219" s="41">
        <v>300000</v>
      </c>
    </row>
    <row r="220" spans="1:9" x14ac:dyDescent="0.2">
      <c r="B220" s="1" t="s">
        <v>629</v>
      </c>
      <c r="D220" s="118">
        <v>0.1</v>
      </c>
      <c r="E220" s="118">
        <v>0.1</v>
      </c>
      <c r="F220" s="118">
        <v>0.2</v>
      </c>
    </row>
    <row r="221" spans="1:9" x14ac:dyDescent="0.2">
      <c r="B221" s="1" t="s">
        <v>630</v>
      </c>
      <c r="D221" s="6">
        <v>0</v>
      </c>
      <c r="E221" s="6">
        <v>0</v>
      </c>
      <c r="F221" s="41">
        <v>5000</v>
      </c>
    </row>
    <row r="223" spans="1:9" x14ac:dyDescent="0.2">
      <c r="A223" s="1" t="s">
        <v>631</v>
      </c>
    </row>
    <row r="224" spans="1:9" x14ac:dyDescent="0.2">
      <c r="A224" s="1" t="s">
        <v>632</v>
      </c>
    </row>
    <row r="225" spans="1:7" x14ac:dyDescent="0.2">
      <c r="A225" s="1" t="s">
        <v>633</v>
      </c>
    </row>
    <row r="226" spans="1:7" x14ac:dyDescent="0.2">
      <c r="A226" s="1" t="s">
        <v>634</v>
      </c>
    </row>
    <row r="227" spans="1:7" x14ac:dyDescent="0.2">
      <c r="A227" s="1" t="s">
        <v>635</v>
      </c>
    </row>
    <row r="228" spans="1:7" x14ac:dyDescent="0.2">
      <c r="A228" s="1" t="s">
        <v>636</v>
      </c>
    </row>
    <row r="230" spans="1:7" x14ac:dyDescent="0.2">
      <c r="B230" s="581" t="s">
        <v>385</v>
      </c>
      <c r="C230" s="581"/>
      <c r="D230" s="581" t="s">
        <v>386</v>
      </c>
      <c r="E230" s="581"/>
      <c r="F230" s="581" t="s">
        <v>402</v>
      </c>
      <c r="G230" s="581"/>
    </row>
    <row r="231" spans="1:7" ht="17" thickBot="1" x14ac:dyDescent="0.25">
      <c r="A231" s="25" t="s">
        <v>403</v>
      </c>
      <c r="B231" s="36" t="s">
        <v>162</v>
      </c>
      <c r="C231" s="36" t="s">
        <v>163</v>
      </c>
      <c r="D231" s="36" t="s">
        <v>162</v>
      </c>
      <c r="E231" s="36" t="s">
        <v>163</v>
      </c>
      <c r="F231" s="36" t="s">
        <v>162</v>
      </c>
      <c r="G231" s="36" t="s">
        <v>163</v>
      </c>
    </row>
    <row r="232" spans="1:7" ht="17" thickBot="1" x14ac:dyDescent="0.25">
      <c r="A232" s="93" t="s">
        <v>432</v>
      </c>
      <c r="B232" s="112">
        <v>200000</v>
      </c>
      <c r="C232" s="113">
        <v>0.1</v>
      </c>
      <c r="D232" s="94"/>
      <c r="E232" s="112">
        <f>B232*C232</f>
        <v>20000</v>
      </c>
      <c r="F232" s="94"/>
      <c r="G232" s="95"/>
    </row>
    <row r="233" spans="1:7" x14ac:dyDescent="0.2">
      <c r="A233" s="1" t="s">
        <v>586</v>
      </c>
      <c r="B233" s="41" t="s">
        <v>624</v>
      </c>
      <c r="C233" s="6"/>
    </row>
    <row r="234" spans="1:7" ht="17" thickBot="1" x14ac:dyDescent="0.25">
      <c r="A234" s="1" t="s">
        <v>587</v>
      </c>
      <c r="B234" s="6" t="s">
        <v>624</v>
      </c>
      <c r="C234" s="41"/>
    </row>
    <row r="235" spans="1:7" ht="17" thickBot="1" x14ac:dyDescent="0.25">
      <c r="A235" s="1" t="s">
        <v>588</v>
      </c>
      <c r="C235" s="114">
        <v>5000</v>
      </c>
      <c r="D235" s="115">
        <f>C235</f>
        <v>5000</v>
      </c>
    </row>
    <row r="236" spans="1:7" ht="17" thickBot="1" x14ac:dyDescent="0.25">
      <c r="A236" s="1" t="s">
        <v>402</v>
      </c>
      <c r="E236" s="116">
        <v>45000</v>
      </c>
      <c r="F236" s="117">
        <f>E236</f>
        <v>45000</v>
      </c>
    </row>
    <row r="237" spans="1:7" ht="17" thickBot="1" x14ac:dyDescent="0.25">
      <c r="A237" s="93" t="s">
        <v>628</v>
      </c>
      <c r="B237" s="112">
        <v>300000</v>
      </c>
      <c r="C237" s="113">
        <v>0.2</v>
      </c>
      <c r="D237" s="94"/>
      <c r="E237" s="112">
        <f>B237*C237</f>
        <v>60000</v>
      </c>
      <c r="F237" s="112"/>
      <c r="G237" s="95"/>
    </row>
    <row r="239" spans="1:7" x14ac:dyDescent="0.2">
      <c r="A239" s="1" t="s">
        <v>637</v>
      </c>
    </row>
  </sheetData>
  <mergeCells count="16">
    <mergeCell ref="B230:C230"/>
    <mergeCell ref="D230:E230"/>
    <mergeCell ref="F230:G230"/>
    <mergeCell ref="B167:C167"/>
    <mergeCell ref="D167:E167"/>
    <mergeCell ref="F167:G167"/>
    <mergeCell ref="B198:C198"/>
    <mergeCell ref="D198:E198"/>
    <mergeCell ref="F198:G198"/>
    <mergeCell ref="A1:H1"/>
    <mergeCell ref="D16:E16"/>
    <mergeCell ref="D19:E19"/>
    <mergeCell ref="D22:E22"/>
    <mergeCell ref="B131:C131"/>
    <mergeCell ref="D131:E131"/>
    <mergeCell ref="F131:G131"/>
  </mergeCells>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0C7257F-8A6E-6540-9BA2-AD0BA102F80E}">
  <dimension ref="A1:M68"/>
  <sheetViews>
    <sheetView rightToLeft="1" zoomScale="173" workbookViewId="0">
      <selection activeCell="H7" sqref="H7"/>
    </sheetView>
  </sheetViews>
  <sheetFormatPr baseColWidth="10" defaultRowHeight="16" x14ac:dyDescent="0.2"/>
  <cols>
    <col min="1" max="16384" width="10.83203125" style="1"/>
  </cols>
  <sheetData>
    <row r="1" spans="1:13" x14ac:dyDescent="0.2">
      <c r="A1" s="2" t="s">
        <v>1886</v>
      </c>
      <c r="G1" s="2"/>
      <c r="H1" s="619" t="s">
        <v>385</v>
      </c>
      <c r="I1" s="619"/>
      <c r="J1" s="619" t="s">
        <v>386</v>
      </c>
      <c r="K1" s="619"/>
      <c r="L1" s="619" t="s">
        <v>402</v>
      </c>
      <c r="M1" s="619"/>
    </row>
    <row r="2" spans="1:13" x14ac:dyDescent="0.2">
      <c r="G2" s="81" t="s">
        <v>403</v>
      </c>
      <c r="H2" s="9" t="s">
        <v>162</v>
      </c>
      <c r="I2" s="9" t="s">
        <v>163</v>
      </c>
      <c r="J2" s="9" t="s">
        <v>162</v>
      </c>
      <c r="K2" s="9" t="s">
        <v>163</v>
      </c>
      <c r="L2" s="9" t="s">
        <v>162</v>
      </c>
      <c r="M2" s="9" t="s">
        <v>163</v>
      </c>
    </row>
    <row r="3" spans="1:13" x14ac:dyDescent="0.2">
      <c r="F3" s="6">
        <v>3</v>
      </c>
      <c r="G3" s="1" t="s">
        <v>1888</v>
      </c>
      <c r="K3" s="41">
        <v>120000</v>
      </c>
    </row>
    <row r="4" spans="1:13" x14ac:dyDescent="0.2">
      <c r="F4" s="6">
        <v>1</v>
      </c>
      <c r="G4" s="1" t="s">
        <v>1887</v>
      </c>
      <c r="H4" s="41">
        <v>3500000</v>
      </c>
      <c r="I4" s="41"/>
    </row>
    <row r="5" spans="1:13" ht="17" thickBot="1" x14ac:dyDescent="0.25">
      <c r="F5" s="6">
        <v>2</v>
      </c>
      <c r="G5" s="1" t="s">
        <v>445</v>
      </c>
      <c r="I5" s="41">
        <v>100000</v>
      </c>
      <c r="J5" s="41">
        <f>I5</f>
        <v>100000</v>
      </c>
    </row>
    <row r="6" spans="1:13" ht="17" thickBot="1" x14ac:dyDescent="0.25">
      <c r="F6" s="6" t="s">
        <v>1898</v>
      </c>
      <c r="G6" s="1" t="s">
        <v>446</v>
      </c>
      <c r="K6" s="90">
        <v>85000</v>
      </c>
      <c r="L6" s="91">
        <f>K6</f>
        <v>85000</v>
      </c>
    </row>
    <row r="7" spans="1:13" ht="17" thickBot="1" x14ac:dyDescent="0.25">
      <c r="F7" s="6" t="s">
        <v>1889</v>
      </c>
      <c r="G7" s="313">
        <v>41274</v>
      </c>
      <c r="H7" s="88">
        <f>I17</f>
        <v>2100000</v>
      </c>
      <c r="I7" s="603">
        <v>0.05</v>
      </c>
      <c r="J7" s="604"/>
      <c r="K7" s="314">
        <f>H7*I7</f>
        <v>105000</v>
      </c>
    </row>
    <row r="8" spans="1:13" x14ac:dyDescent="0.2">
      <c r="G8" s="87"/>
      <c r="H8" s="41"/>
    </row>
    <row r="9" spans="1:13" x14ac:dyDescent="0.2">
      <c r="F9" s="6" t="s">
        <v>84</v>
      </c>
      <c r="G9" s="1" t="s">
        <v>1890</v>
      </c>
    </row>
    <row r="10" spans="1:13" x14ac:dyDescent="0.2">
      <c r="G10" s="1" t="s">
        <v>1891</v>
      </c>
    </row>
    <row r="11" spans="1:13" x14ac:dyDescent="0.2">
      <c r="G11" s="1" t="s">
        <v>1892</v>
      </c>
    </row>
    <row r="12" spans="1:13" x14ac:dyDescent="0.2">
      <c r="G12" s="1" t="s">
        <v>1893</v>
      </c>
    </row>
    <row r="14" spans="1:13" x14ac:dyDescent="0.2">
      <c r="G14" s="1" t="s">
        <v>1894</v>
      </c>
      <c r="I14" s="24">
        <v>2000000</v>
      </c>
    </row>
    <row r="15" spans="1:13" x14ac:dyDescent="0.2">
      <c r="G15" s="1" t="s">
        <v>1895</v>
      </c>
      <c r="I15" s="23">
        <f>-100000</f>
        <v>-100000</v>
      </c>
    </row>
    <row r="16" spans="1:13" x14ac:dyDescent="0.2">
      <c r="G16" s="1" t="s">
        <v>1896</v>
      </c>
      <c r="I16" s="24">
        <v>200000</v>
      </c>
    </row>
    <row r="17" spans="6:12" x14ac:dyDescent="0.2">
      <c r="G17" s="1" t="s">
        <v>1897</v>
      </c>
      <c r="I17" s="302">
        <f>SUM(I14:I16)</f>
        <v>2100000</v>
      </c>
      <c r="L17" s="1" t="s">
        <v>1922</v>
      </c>
    </row>
    <row r="19" spans="6:12" x14ac:dyDescent="0.2">
      <c r="G19" s="1" t="s">
        <v>1899</v>
      </c>
    </row>
    <row r="20" spans="6:12" x14ac:dyDescent="0.2">
      <c r="G20" s="1" t="s">
        <v>1900</v>
      </c>
    </row>
    <row r="21" spans="6:12" x14ac:dyDescent="0.2">
      <c r="G21" s="1" t="s">
        <v>1901</v>
      </c>
    </row>
    <row r="22" spans="6:12" x14ac:dyDescent="0.2">
      <c r="G22" s="1" t="s">
        <v>1902</v>
      </c>
    </row>
    <row r="23" spans="6:12" x14ac:dyDescent="0.2">
      <c r="G23" s="1" t="s">
        <v>1903</v>
      </c>
    </row>
    <row r="24" spans="6:12" x14ac:dyDescent="0.2">
      <c r="G24" s="1" t="s">
        <v>1904</v>
      </c>
    </row>
    <row r="25" spans="6:12" x14ac:dyDescent="0.2">
      <c r="G25" s="1" t="s">
        <v>1919</v>
      </c>
    </row>
    <row r="26" spans="6:12" x14ac:dyDescent="0.2">
      <c r="G26" s="1" t="s">
        <v>1920</v>
      </c>
    </row>
    <row r="27" spans="6:12" x14ac:dyDescent="0.2">
      <c r="G27" s="1" t="s">
        <v>1921</v>
      </c>
    </row>
    <row r="29" spans="6:12" x14ac:dyDescent="0.2">
      <c r="F29" s="6" t="s">
        <v>1907</v>
      </c>
      <c r="G29" s="1" t="s">
        <v>1905</v>
      </c>
    </row>
    <row r="30" spans="6:12" x14ac:dyDescent="0.2">
      <c r="G30" s="1" t="s">
        <v>1906</v>
      </c>
    </row>
    <row r="32" spans="6:12" x14ac:dyDescent="0.2">
      <c r="F32" s="6" t="s">
        <v>1908</v>
      </c>
      <c r="G32" s="1" t="s">
        <v>1909</v>
      </c>
    </row>
    <row r="34" spans="1:13" x14ac:dyDescent="0.2">
      <c r="F34" s="6" t="s">
        <v>1910</v>
      </c>
      <c r="G34" s="1" t="s">
        <v>1911</v>
      </c>
    </row>
    <row r="36" spans="1:13" x14ac:dyDescent="0.2">
      <c r="F36" s="6" t="s">
        <v>1912</v>
      </c>
      <c r="G36" s="1" t="s">
        <v>1913</v>
      </c>
    </row>
    <row r="37" spans="1:13" x14ac:dyDescent="0.2">
      <c r="G37" s="1" t="s">
        <v>1915</v>
      </c>
    </row>
    <row r="39" spans="1:13" x14ac:dyDescent="0.2">
      <c r="G39" s="1" t="s">
        <v>1914</v>
      </c>
      <c r="I39" s="24">
        <v>2100000</v>
      </c>
    </row>
    <row r="40" spans="1:13" x14ac:dyDescent="0.2">
      <c r="G40" s="1" t="s">
        <v>1916</v>
      </c>
      <c r="I40" s="23">
        <v>-105000</v>
      </c>
    </row>
    <row r="41" spans="1:13" x14ac:dyDescent="0.2">
      <c r="G41" s="1" t="s">
        <v>1917</v>
      </c>
      <c r="I41" s="89">
        <f>I39+I40</f>
        <v>1995000</v>
      </c>
      <c r="J41" s="1" t="s">
        <v>1918</v>
      </c>
    </row>
    <row r="42" spans="1:13" x14ac:dyDescent="0.2">
      <c r="A42" s="2" t="s">
        <v>1923</v>
      </c>
    </row>
    <row r="44" spans="1:13" x14ac:dyDescent="0.2">
      <c r="G44" s="2"/>
      <c r="H44" s="619" t="s">
        <v>385</v>
      </c>
      <c r="I44" s="619"/>
      <c r="J44" s="619" t="s">
        <v>386</v>
      </c>
      <c r="K44" s="619"/>
      <c r="L44" s="619" t="s">
        <v>402</v>
      </c>
      <c r="M44" s="619"/>
    </row>
    <row r="45" spans="1:13" x14ac:dyDescent="0.2">
      <c r="G45" s="81" t="s">
        <v>403</v>
      </c>
      <c r="H45" s="9" t="s">
        <v>162</v>
      </c>
      <c r="I45" s="9" t="s">
        <v>163</v>
      </c>
      <c r="J45" s="9" t="s">
        <v>162</v>
      </c>
      <c r="K45" s="9" t="s">
        <v>163</v>
      </c>
      <c r="L45" s="9" t="s">
        <v>162</v>
      </c>
      <c r="M45" s="9" t="s">
        <v>163</v>
      </c>
    </row>
    <row r="46" spans="1:13" x14ac:dyDescent="0.2">
      <c r="F46" s="6">
        <v>4</v>
      </c>
      <c r="G46" s="1" t="s">
        <v>1888</v>
      </c>
      <c r="K46" s="41">
        <v>80000</v>
      </c>
    </row>
    <row r="47" spans="1:13" x14ac:dyDescent="0.2">
      <c r="F47" s="6">
        <v>1</v>
      </c>
      <c r="G47" s="1" t="s">
        <v>75</v>
      </c>
      <c r="H47" s="41">
        <v>5000000</v>
      </c>
      <c r="K47" s="41"/>
    </row>
    <row r="48" spans="1:13" x14ac:dyDescent="0.2">
      <c r="F48" s="6">
        <v>2</v>
      </c>
      <c r="G48" s="1" t="s">
        <v>445</v>
      </c>
      <c r="H48" s="41"/>
      <c r="I48" s="315">
        <v>50000</v>
      </c>
      <c r="J48" s="315">
        <f>I48</f>
        <v>50000</v>
      </c>
    </row>
    <row r="49" spans="6:12" ht="17" thickBot="1" x14ac:dyDescent="0.25">
      <c r="F49" s="6">
        <v>3</v>
      </c>
      <c r="G49" s="1" t="s">
        <v>644</v>
      </c>
      <c r="H49" s="41">
        <v>20000</v>
      </c>
      <c r="I49" s="45" t="s">
        <v>1931</v>
      </c>
      <c r="J49" s="41"/>
    </row>
    <row r="50" spans="6:12" ht="17" thickBot="1" x14ac:dyDescent="0.25">
      <c r="F50" s="6" t="s">
        <v>1898</v>
      </c>
      <c r="G50" s="1" t="s">
        <v>446</v>
      </c>
      <c r="K50" s="90">
        <f>K51-K46+J48</f>
        <v>117000</v>
      </c>
      <c r="L50" s="91">
        <f>K50</f>
        <v>117000</v>
      </c>
    </row>
    <row r="51" spans="6:12" ht="17" thickBot="1" x14ac:dyDescent="0.25">
      <c r="F51" s="6"/>
      <c r="G51" s="313"/>
      <c r="H51" s="88">
        <f>J60</f>
        <v>1470000</v>
      </c>
      <c r="I51" s="308">
        <v>0.1</v>
      </c>
      <c r="J51" s="309"/>
      <c r="K51" s="314">
        <f>H51*10%</f>
        <v>147000</v>
      </c>
    </row>
    <row r="54" spans="6:12" x14ac:dyDescent="0.2">
      <c r="G54" s="1" t="s">
        <v>1924</v>
      </c>
    </row>
    <row r="55" spans="6:12" x14ac:dyDescent="0.2">
      <c r="G55" s="1" t="s">
        <v>1925</v>
      </c>
    </row>
    <row r="57" spans="6:12" x14ac:dyDescent="0.2">
      <c r="G57" s="1" t="s">
        <v>1926</v>
      </c>
      <c r="J57" s="24">
        <v>1500000</v>
      </c>
    </row>
    <row r="58" spans="6:12" x14ac:dyDescent="0.2">
      <c r="G58" s="1" t="s">
        <v>1927</v>
      </c>
      <c r="J58" s="23">
        <v>-50000</v>
      </c>
    </row>
    <row r="59" spans="6:12" x14ac:dyDescent="0.2">
      <c r="G59" s="1" t="s">
        <v>1928</v>
      </c>
      <c r="J59" s="24">
        <v>20000</v>
      </c>
    </row>
    <row r="60" spans="6:12" x14ac:dyDescent="0.2">
      <c r="G60" s="1" t="s">
        <v>1929</v>
      </c>
      <c r="J60" s="302">
        <f>SUM(J57:J59)</f>
        <v>1470000</v>
      </c>
    </row>
    <row r="62" spans="6:12" x14ac:dyDescent="0.2">
      <c r="G62" s="1" t="s">
        <v>1907</v>
      </c>
      <c r="H62" s="24">
        <f>H51</f>
        <v>1470000</v>
      </c>
    </row>
    <row r="63" spans="6:12" x14ac:dyDescent="0.2">
      <c r="G63" s="1" t="s">
        <v>1908</v>
      </c>
      <c r="H63" s="24">
        <f>K50</f>
        <v>117000</v>
      </c>
    </row>
    <row r="64" spans="6:12" x14ac:dyDescent="0.2">
      <c r="G64" s="1" t="s">
        <v>1910</v>
      </c>
      <c r="H64" s="24">
        <f>K51</f>
        <v>147000</v>
      </c>
    </row>
    <row r="65" spans="7:10" x14ac:dyDescent="0.2">
      <c r="G65" s="1" t="s">
        <v>1912</v>
      </c>
    </row>
    <row r="66" spans="7:10" x14ac:dyDescent="0.2">
      <c r="H66" s="1" t="s">
        <v>385</v>
      </c>
      <c r="J66" s="24">
        <f>H51</f>
        <v>1470000</v>
      </c>
    </row>
    <row r="67" spans="7:10" x14ac:dyDescent="0.2">
      <c r="H67" s="1" t="s">
        <v>1884</v>
      </c>
      <c r="J67" s="23">
        <f>-K51</f>
        <v>-147000</v>
      </c>
    </row>
    <row r="68" spans="7:10" x14ac:dyDescent="0.2">
      <c r="H68" s="1" t="s">
        <v>1930</v>
      </c>
      <c r="J68" s="316">
        <f>SUM(J66:J67)</f>
        <v>1323000</v>
      </c>
    </row>
  </sheetData>
  <mergeCells count="7">
    <mergeCell ref="H44:I44"/>
    <mergeCell ref="J44:K44"/>
    <mergeCell ref="L44:M44"/>
    <mergeCell ref="H1:I1"/>
    <mergeCell ref="J1:K1"/>
    <mergeCell ref="L1:M1"/>
    <mergeCell ref="I7:J7"/>
  </mergeCells>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E16412-1DE0-3B4F-9E90-094EE2663776}">
  <dimension ref="A1:N547"/>
  <sheetViews>
    <sheetView rightToLeft="1" topLeftCell="A491" zoomScale="332" workbookViewId="0">
      <selection activeCell="A501" sqref="A501"/>
    </sheetView>
  </sheetViews>
  <sheetFormatPr baseColWidth="10" defaultRowHeight="16" x14ac:dyDescent="0.2"/>
  <cols>
    <col min="1" max="16384" width="10.83203125" style="1"/>
  </cols>
  <sheetData>
    <row r="1" spans="1:8" x14ac:dyDescent="0.2">
      <c r="A1" s="616" t="s">
        <v>3137</v>
      </c>
      <c r="B1" s="616"/>
      <c r="C1" s="616"/>
      <c r="D1" s="616"/>
      <c r="E1" s="616"/>
      <c r="F1" s="616"/>
      <c r="G1" s="616"/>
      <c r="H1" s="616"/>
    </row>
    <row r="3" spans="1:8" x14ac:dyDescent="0.2">
      <c r="A3" s="16" t="s">
        <v>653</v>
      </c>
      <c r="B3" s="16"/>
      <c r="C3" s="16"/>
      <c r="D3" s="16"/>
      <c r="E3" s="16"/>
      <c r="F3" s="16"/>
      <c r="G3" s="16"/>
      <c r="H3" s="16"/>
    </row>
    <row r="4" spans="1:8" x14ac:dyDescent="0.2">
      <c r="A4" s="1" t="s">
        <v>649</v>
      </c>
    </row>
    <row r="5" spans="1:8" x14ac:dyDescent="0.2">
      <c r="A5" s="1" t="s">
        <v>650</v>
      </c>
    </row>
    <row r="6" spans="1:8" x14ac:dyDescent="0.2">
      <c r="A6" s="1" t="s">
        <v>651</v>
      </c>
    </row>
    <row r="7" spans="1:8" x14ac:dyDescent="0.2">
      <c r="A7" s="1" t="s">
        <v>3138</v>
      </c>
    </row>
    <row r="8" spans="1:8" x14ac:dyDescent="0.2">
      <c r="A8" s="1" t="s">
        <v>652</v>
      </c>
    </row>
    <row r="10" spans="1:8" x14ac:dyDescent="0.2">
      <c r="A10" s="16" t="s">
        <v>654</v>
      </c>
      <c r="B10" s="16"/>
      <c r="C10" s="16"/>
      <c r="D10" s="16"/>
      <c r="E10" s="16"/>
      <c r="F10" s="16"/>
      <c r="G10" s="16"/>
      <c r="H10" s="16"/>
    </row>
    <row r="11" spans="1:8" x14ac:dyDescent="0.2">
      <c r="A11" s="1" t="s">
        <v>655</v>
      </c>
    </row>
    <row r="12" spans="1:8" x14ac:dyDescent="0.2">
      <c r="A12" s="1" t="s">
        <v>656</v>
      </c>
    </row>
    <row r="14" spans="1:8" x14ac:dyDescent="0.2">
      <c r="A14" s="85" t="s">
        <v>657</v>
      </c>
      <c r="B14" s="85"/>
      <c r="C14" s="85"/>
      <c r="D14" s="85"/>
      <c r="E14" s="85"/>
      <c r="F14" s="85"/>
      <c r="G14" s="85"/>
      <c r="H14" s="85"/>
    </row>
    <row r="15" spans="1:8" x14ac:dyDescent="0.2">
      <c r="A15" s="1" t="s">
        <v>658</v>
      </c>
    </row>
    <row r="16" spans="1:8" x14ac:dyDescent="0.2">
      <c r="A16" s="1" t="s">
        <v>659</v>
      </c>
    </row>
    <row r="17" spans="1:8" x14ac:dyDescent="0.2">
      <c r="A17" s="1" t="s">
        <v>660</v>
      </c>
    </row>
    <row r="19" spans="1:8" x14ac:dyDescent="0.2">
      <c r="A19" s="1" t="s">
        <v>3139</v>
      </c>
    </row>
    <row r="21" spans="1:8" x14ac:dyDescent="0.2">
      <c r="A21" s="1" t="s">
        <v>661</v>
      </c>
    </row>
    <row r="22" spans="1:8" x14ac:dyDescent="0.2">
      <c r="A22" s="1" t="s">
        <v>662</v>
      </c>
    </row>
    <row r="24" spans="1:8" x14ac:dyDescent="0.2">
      <c r="A24" s="85" t="s">
        <v>663</v>
      </c>
      <c r="B24" s="85"/>
      <c r="C24" s="85"/>
      <c r="D24" s="85"/>
      <c r="E24" s="85"/>
      <c r="F24" s="85"/>
      <c r="G24" s="85"/>
      <c r="H24" s="85"/>
    </row>
    <row r="25" spans="1:8" x14ac:dyDescent="0.2">
      <c r="A25" s="2" t="s">
        <v>3140</v>
      </c>
      <c r="B25" s="2"/>
      <c r="C25" s="2"/>
      <c r="D25" s="2"/>
      <c r="E25" s="2"/>
      <c r="F25" s="2"/>
      <c r="G25" s="2"/>
      <c r="H25" s="2"/>
    </row>
    <row r="26" spans="1:8" ht="17" thickBot="1" x14ac:dyDescent="0.25">
      <c r="A26" s="2" t="s">
        <v>3141</v>
      </c>
      <c r="B26" s="2"/>
      <c r="C26" s="2"/>
      <c r="D26" s="2"/>
      <c r="E26" s="2"/>
      <c r="F26" s="2"/>
      <c r="G26" s="2"/>
      <c r="H26" s="2"/>
    </row>
    <row r="27" spans="1:8" x14ac:dyDescent="0.2">
      <c r="A27" s="2"/>
      <c r="B27" s="2"/>
      <c r="C27" s="2"/>
      <c r="D27" s="2"/>
      <c r="E27" s="2"/>
      <c r="F27" s="180"/>
      <c r="G27" s="413"/>
      <c r="H27" s="414"/>
    </row>
    <row r="28" spans="1:8" x14ac:dyDescent="0.2">
      <c r="A28" s="2"/>
      <c r="B28" s="2"/>
      <c r="C28" s="2"/>
      <c r="D28" s="2"/>
      <c r="E28" s="2"/>
      <c r="F28" s="151"/>
      <c r="G28" s="2"/>
      <c r="H28" s="152"/>
    </row>
    <row r="29" spans="1:8" x14ac:dyDescent="0.2">
      <c r="A29" s="2"/>
      <c r="B29" s="2"/>
      <c r="C29" s="2"/>
      <c r="D29" s="2"/>
      <c r="E29" s="2"/>
      <c r="F29" s="151"/>
      <c r="G29" s="2"/>
      <c r="H29" s="152"/>
    </row>
    <row r="30" spans="1:8" x14ac:dyDescent="0.2">
      <c r="A30" s="2"/>
      <c r="B30" s="110" t="s">
        <v>2897</v>
      </c>
      <c r="C30" s="2"/>
      <c r="D30" s="2"/>
      <c r="E30" s="2"/>
      <c r="F30" s="151"/>
      <c r="G30" s="110" t="s">
        <v>3150</v>
      </c>
      <c r="H30" s="152"/>
    </row>
    <row r="31" spans="1:8" x14ac:dyDescent="0.2">
      <c r="A31" s="2"/>
      <c r="B31" s="2" t="s">
        <v>3142</v>
      </c>
      <c r="C31" s="2"/>
      <c r="D31" s="2"/>
      <c r="E31" s="2"/>
      <c r="F31" s="151" t="s">
        <v>3147</v>
      </c>
      <c r="G31" s="2"/>
      <c r="H31" s="152"/>
    </row>
    <row r="32" spans="1:8" x14ac:dyDescent="0.2">
      <c r="A32" s="2" t="s">
        <v>3146</v>
      </c>
      <c r="B32" s="2" t="s">
        <v>3143</v>
      </c>
      <c r="C32" s="2"/>
      <c r="D32" s="2"/>
      <c r="E32" s="2"/>
      <c r="F32" s="151" t="s">
        <v>695</v>
      </c>
      <c r="G32" s="2"/>
      <c r="H32" s="152"/>
    </row>
    <row r="33" spans="1:8" x14ac:dyDescent="0.2">
      <c r="A33" s="2"/>
      <c r="B33" s="1" t="s">
        <v>3144</v>
      </c>
      <c r="C33" s="2"/>
      <c r="D33" s="2"/>
      <c r="E33" s="2"/>
      <c r="F33" s="106" t="s">
        <v>3148</v>
      </c>
      <c r="G33" s="2"/>
      <c r="H33" s="152"/>
    </row>
    <row r="34" spans="1:8" ht="17" thickBot="1" x14ac:dyDescent="0.25">
      <c r="A34" s="2"/>
      <c r="B34" s="1" t="s">
        <v>3145</v>
      </c>
      <c r="C34" s="2"/>
      <c r="D34" s="2"/>
      <c r="E34" s="2"/>
      <c r="F34" s="20" t="s">
        <v>3149</v>
      </c>
      <c r="G34" s="154"/>
      <c r="H34" s="155"/>
    </row>
    <row r="35" spans="1:8" x14ac:dyDescent="0.2">
      <c r="A35" s="2"/>
      <c r="B35" s="2"/>
      <c r="C35" s="2"/>
      <c r="D35" s="2"/>
      <c r="E35" s="2"/>
      <c r="F35" s="2"/>
      <c r="G35" s="2"/>
      <c r="H35" s="2"/>
    </row>
    <row r="36" spans="1:8" x14ac:dyDescent="0.2">
      <c r="A36" s="2"/>
      <c r="B36" s="2"/>
      <c r="C36" s="2"/>
      <c r="D36" s="2"/>
      <c r="E36" s="2"/>
      <c r="F36" s="2"/>
      <c r="G36" s="2"/>
      <c r="H36" s="2"/>
    </row>
    <row r="37" spans="1:8" x14ac:dyDescent="0.2">
      <c r="A37" s="1" t="s">
        <v>664</v>
      </c>
    </row>
    <row r="38" spans="1:8" x14ac:dyDescent="0.2">
      <c r="A38" s="1" t="s">
        <v>665</v>
      </c>
    </row>
    <row r="40" spans="1:8" x14ac:dyDescent="0.2">
      <c r="C40" s="1" t="s">
        <v>666</v>
      </c>
      <c r="E40" s="6" t="s">
        <v>76</v>
      </c>
    </row>
    <row r="41" spans="1:8" ht="17" thickBot="1" x14ac:dyDescent="0.25">
      <c r="C41" s="1" t="s">
        <v>669</v>
      </c>
      <c r="E41" s="6" t="s">
        <v>77</v>
      </c>
    </row>
    <row r="42" spans="1:8" ht="17" thickBot="1" x14ac:dyDescent="0.25">
      <c r="A42" s="1" t="s">
        <v>3151</v>
      </c>
      <c r="C42" s="1" t="s">
        <v>668</v>
      </c>
      <c r="E42" s="17" t="s">
        <v>79</v>
      </c>
    </row>
    <row r="44" spans="1:8" x14ac:dyDescent="0.2">
      <c r="A44" s="6" t="s">
        <v>84</v>
      </c>
      <c r="B44" s="1" t="s">
        <v>670</v>
      </c>
    </row>
    <row r="45" spans="1:8" x14ac:dyDescent="0.2">
      <c r="B45" s="1" t="s">
        <v>671</v>
      </c>
    </row>
    <row r="47" spans="1:8" ht="23" x14ac:dyDescent="0.25">
      <c r="A47" s="448" t="s">
        <v>2583</v>
      </c>
      <c r="B47" s="448"/>
      <c r="C47" s="448"/>
      <c r="D47" s="448"/>
      <c r="E47" s="448"/>
      <c r="F47" s="448"/>
      <c r="G47" s="448"/>
      <c r="H47" s="448"/>
    </row>
    <row r="49" spans="1:8" x14ac:dyDescent="0.2">
      <c r="A49" s="1" t="s">
        <v>3152</v>
      </c>
    </row>
    <row r="50" spans="1:8" x14ac:dyDescent="0.2">
      <c r="A50" s="1" t="s">
        <v>3153</v>
      </c>
    </row>
    <row r="51" spans="1:8" x14ac:dyDescent="0.2">
      <c r="A51" s="1" t="s">
        <v>3154</v>
      </c>
    </row>
    <row r="53" spans="1:8" x14ac:dyDescent="0.2">
      <c r="A53" s="34" t="s">
        <v>672</v>
      </c>
      <c r="B53" s="34"/>
      <c r="C53" s="34"/>
      <c r="D53" s="34"/>
      <c r="E53" s="34"/>
      <c r="F53" s="34"/>
      <c r="G53" s="34"/>
      <c r="H53" s="34"/>
    </row>
    <row r="54" spans="1:8" x14ac:dyDescent="0.2">
      <c r="A54" s="1" t="s">
        <v>673</v>
      </c>
    </row>
    <row r="55" spans="1:8" x14ac:dyDescent="0.2">
      <c r="A55" s="1" t="s">
        <v>674</v>
      </c>
    </row>
    <row r="56" spans="1:8" x14ac:dyDescent="0.2">
      <c r="A56" s="1" t="s">
        <v>2567</v>
      </c>
    </row>
    <row r="57" spans="1:8" x14ac:dyDescent="0.2">
      <c r="A57" s="1" t="s">
        <v>2568</v>
      </c>
    </row>
    <row r="59" spans="1:8" x14ac:dyDescent="0.2">
      <c r="A59" s="2" t="s">
        <v>675</v>
      </c>
      <c r="F59" s="123" t="s">
        <v>2569</v>
      </c>
      <c r="G59" s="123"/>
      <c r="H59" s="123"/>
    </row>
    <row r="60" spans="1:8" x14ac:dyDescent="0.2">
      <c r="A60" s="1" t="s">
        <v>676</v>
      </c>
    </row>
    <row r="61" spans="1:8" x14ac:dyDescent="0.2">
      <c r="A61" s="1" t="s">
        <v>677</v>
      </c>
    </row>
    <row r="62" spans="1:8" x14ac:dyDescent="0.2">
      <c r="A62" s="1" t="s">
        <v>678</v>
      </c>
    </row>
    <row r="64" spans="1:8" x14ac:dyDescent="0.2">
      <c r="A64" s="1" t="s">
        <v>679</v>
      </c>
    </row>
    <row r="65" spans="1:2" x14ac:dyDescent="0.2">
      <c r="A65" s="1" t="s">
        <v>680</v>
      </c>
    </row>
    <row r="67" spans="1:2" x14ac:dyDescent="0.2">
      <c r="A67" s="1" t="s">
        <v>681</v>
      </c>
    </row>
    <row r="69" spans="1:2" x14ac:dyDescent="0.2">
      <c r="A69" s="1" t="s">
        <v>682</v>
      </c>
    </row>
    <row r="71" spans="1:2" x14ac:dyDescent="0.2">
      <c r="A71" s="2" t="s">
        <v>692</v>
      </c>
    </row>
    <row r="72" spans="1:2" x14ac:dyDescent="0.2">
      <c r="A72" s="2"/>
    </row>
    <row r="73" spans="1:2" x14ac:dyDescent="0.2">
      <c r="A73" s="1" t="s">
        <v>2570</v>
      </c>
    </row>
    <row r="75" spans="1:2" x14ac:dyDescent="0.2">
      <c r="A75" s="1" t="s">
        <v>683</v>
      </c>
    </row>
    <row r="76" spans="1:2" x14ac:dyDescent="0.2">
      <c r="A76" s="6" t="s">
        <v>684</v>
      </c>
      <c r="B76" s="1" t="s">
        <v>685</v>
      </c>
    </row>
    <row r="77" spans="1:2" x14ac:dyDescent="0.2">
      <c r="A77" s="6" t="s">
        <v>686</v>
      </c>
      <c r="B77" s="1" t="s">
        <v>687</v>
      </c>
    </row>
    <row r="78" spans="1:2" x14ac:dyDescent="0.2">
      <c r="A78" s="6" t="s">
        <v>688</v>
      </c>
      <c r="B78" s="1" t="s">
        <v>689</v>
      </c>
    </row>
    <row r="79" spans="1:2" x14ac:dyDescent="0.2">
      <c r="A79" s="6" t="s">
        <v>690</v>
      </c>
      <c r="B79" s="1" t="s">
        <v>691</v>
      </c>
    </row>
    <row r="81" spans="1:6" x14ac:dyDescent="0.2">
      <c r="A81" s="2" t="s">
        <v>693</v>
      </c>
    </row>
    <row r="82" spans="1:6" x14ac:dyDescent="0.2">
      <c r="A82" s="2" t="s">
        <v>694</v>
      </c>
    </row>
    <row r="84" spans="1:6" x14ac:dyDescent="0.2">
      <c r="C84" s="442">
        <v>41274</v>
      </c>
      <c r="D84" s="442">
        <v>41639</v>
      </c>
      <c r="E84" s="442">
        <v>42004</v>
      </c>
    </row>
    <row r="85" spans="1:6" x14ac:dyDescent="0.2">
      <c r="A85" s="1" t="s">
        <v>3155</v>
      </c>
      <c r="C85" s="256">
        <v>100000</v>
      </c>
      <c r="D85" s="256">
        <v>100000</v>
      </c>
      <c r="E85" s="256">
        <v>100000</v>
      </c>
    </row>
    <row r="86" spans="1:6" x14ac:dyDescent="0.2">
      <c r="A86" s="1" t="s">
        <v>3156</v>
      </c>
      <c r="C86" s="256">
        <v>-10000</v>
      </c>
      <c r="D86" s="256">
        <f>-20000</f>
        <v>-20000</v>
      </c>
      <c r="E86" s="256">
        <v>-30000</v>
      </c>
    </row>
    <row r="87" spans="1:6" s="13" customFormat="1" x14ac:dyDescent="0.2">
      <c r="A87" s="13" t="s">
        <v>3157</v>
      </c>
      <c r="C87" s="443">
        <f>C85+C86</f>
        <v>90000</v>
      </c>
      <c r="D87" s="443">
        <f>D85+D86</f>
        <v>80000</v>
      </c>
      <c r="E87" s="443">
        <f>E85+E86</f>
        <v>70000</v>
      </c>
      <c r="F87" s="13" t="s">
        <v>3158</v>
      </c>
    </row>
    <row r="88" spans="1:6" x14ac:dyDescent="0.2">
      <c r="C88" s="23"/>
      <c r="D88" s="23"/>
      <c r="E88" s="23"/>
    </row>
    <row r="89" spans="1:6" x14ac:dyDescent="0.2">
      <c r="A89" s="1" t="s">
        <v>697</v>
      </c>
      <c r="C89" s="23"/>
      <c r="D89" s="23"/>
      <c r="E89" s="23"/>
    </row>
    <row r="91" spans="1:6" x14ac:dyDescent="0.2">
      <c r="A91" s="1" t="s">
        <v>3159</v>
      </c>
    </row>
    <row r="92" spans="1:6" x14ac:dyDescent="0.2">
      <c r="B92" s="1" t="s">
        <v>3160</v>
      </c>
    </row>
    <row r="93" spans="1:6" x14ac:dyDescent="0.2">
      <c r="B93" s="1" t="s">
        <v>3161</v>
      </c>
    </row>
    <row r="97" spans="1:9" x14ac:dyDescent="0.2">
      <c r="A97" s="34" t="s">
        <v>698</v>
      </c>
      <c r="B97" s="34"/>
      <c r="C97" s="34"/>
      <c r="D97" s="34"/>
      <c r="E97" s="34"/>
      <c r="F97" s="34"/>
      <c r="G97" s="34"/>
      <c r="H97" s="34"/>
    </row>
    <row r="99" spans="1:9" x14ac:dyDescent="0.2">
      <c r="A99" s="1" t="s">
        <v>699</v>
      </c>
    </row>
    <row r="100" spans="1:9" x14ac:dyDescent="0.2">
      <c r="A100" s="1" t="s">
        <v>700</v>
      </c>
      <c r="F100" s="1" t="s">
        <v>2572</v>
      </c>
      <c r="H100" s="444">
        <v>200000</v>
      </c>
    </row>
    <row r="101" spans="1:9" x14ac:dyDescent="0.2">
      <c r="A101" s="1" t="s">
        <v>701</v>
      </c>
      <c r="F101" s="1" t="s">
        <v>2573</v>
      </c>
      <c r="H101" s="24">
        <f>H100*(1-40%)</f>
        <v>120000</v>
      </c>
      <c r="I101" s="1" t="s">
        <v>2574</v>
      </c>
    </row>
    <row r="102" spans="1:9" x14ac:dyDescent="0.2">
      <c r="A102" s="1" t="s">
        <v>702</v>
      </c>
    </row>
    <row r="103" spans="1:9" x14ac:dyDescent="0.2">
      <c r="A103" s="1" t="s">
        <v>703</v>
      </c>
    </row>
    <row r="104" spans="1:9" x14ac:dyDescent="0.2">
      <c r="A104" s="1" t="s">
        <v>704</v>
      </c>
    </row>
    <row r="105" spans="1:9" x14ac:dyDescent="0.2">
      <c r="A105" s="1" t="s">
        <v>705</v>
      </c>
    </row>
    <row r="106" spans="1:9" x14ac:dyDescent="0.2">
      <c r="A106" s="1" t="s">
        <v>706</v>
      </c>
    </row>
    <row r="107" spans="1:9" x14ac:dyDescent="0.2">
      <c r="A107" s="1" t="s">
        <v>707</v>
      </c>
    </row>
    <row r="108" spans="1:9" x14ac:dyDescent="0.2">
      <c r="A108" s="1" t="s">
        <v>708</v>
      </c>
    </row>
    <row r="109" spans="1:9" x14ac:dyDescent="0.2">
      <c r="A109" s="1" t="s">
        <v>2576</v>
      </c>
    </row>
    <row r="110" spans="1:9" x14ac:dyDescent="0.2">
      <c r="A110" s="1" t="s">
        <v>709</v>
      </c>
    </row>
    <row r="111" spans="1:9" x14ac:dyDescent="0.2">
      <c r="A111" s="1" t="s">
        <v>2575</v>
      </c>
    </row>
    <row r="112" spans="1:9" x14ac:dyDescent="0.2">
      <c r="A112" s="1" t="s">
        <v>710</v>
      </c>
    </row>
    <row r="113" spans="1:9" x14ac:dyDescent="0.2">
      <c r="A113" s="1" t="s">
        <v>2571</v>
      </c>
    </row>
    <row r="115" spans="1:9" x14ac:dyDescent="0.2">
      <c r="A115" s="1" t="s">
        <v>711</v>
      </c>
      <c r="F115" s="13"/>
    </row>
    <row r="116" spans="1:9" x14ac:dyDescent="0.2">
      <c r="F116" s="533" t="s">
        <v>739</v>
      </c>
      <c r="G116" s="13" t="s">
        <v>3165</v>
      </c>
    </row>
    <row r="117" spans="1:9" x14ac:dyDescent="0.2">
      <c r="B117" s="442">
        <v>41639</v>
      </c>
      <c r="C117" s="442">
        <v>42004</v>
      </c>
      <c r="D117" s="442">
        <v>42369</v>
      </c>
      <c r="E117" s="442">
        <v>42735</v>
      </c>
      <c r="F117" s="534">
        <v>42917</v>
      </c>
      <c r="G117" s="442">
        <v>43100</v>
      </c>
    </row>
    <row r="118" spans="1:9" x14ac:dyDescent="0.2">
      <c r="A118" s="1" t="s">
        <v>713</v>
      </c>
      <c r="B118" s="256">
        <f>200000*(1-40%)+20000+15000+10000</f>
        <v>165000</v>
      </c>
      <c r="C118" s="256">
        <f t="shared" ref="C118:E118" si="0">200000*(1-40%)+20000+15000+10000</f>
        <v>165000</v>
      </c>
      <c r="D118" s="256">
        <f t="shared" si="0"/>
        <v>165000</v>
      </c>
      <c r="E118" s="256">
        <f t="shared" si="0"/>
        <v>165000</v>
      </c>
      <c r="F118" s="535">
        <f>E118</f>
        <v>165000</v>
      </c>
      <c r="G118" s="256">
        <v>0</v>
      </c>
      <c r="H118" s="1" t="s">
        <v>3166</v>
      </c>
    </row>
    <row r="119" spans="1:9" ht="17" thickBot="1" x14ac:dyDescent="0.25">
      <c r="A119" s="1" t="s">
        <v>667</v>
      </c>
      <c r="B119" s="256">
        <f>-B122</f>
        <v>-10333.333333333332</v>
      </c>
      <c r="C119" s="256">
        <f>B119-C122</f>
        <v>-25833.333333333332</v>
      </c>
      <c r="D119" s="256">
        <f>C119-D122</f>
        <v>-41333.333333333328</v>
      </c>
      <c r="E119" s="256">
        <f>D119-E122</f>
        <v>-56833.333333333328</v>
      </c>
      <c r="F119" s="535">
        <f>E119-F122</f>
        <v>-64583.333333333328</v>
      </c>
      <c r="G119" s="256">
        <v>0</v>
      </c>
      <c r="H119" s="1" t="s">
        <v>3167</v>
      </c>
    </row>
    <row r="120" spans="1:9" ht="17" thickBot="1" x14ac:dyDescent="0.25">
      <c r="A120" s="1" t="s">
        <v>696</v>
      </c>
      <c r="B120" s="445">
        <f>B118+B119</f>
        <v>154666.66666666666</v>
      </c>
      <c r="C120" s="445">
        <f>C118+C119</f>
        <v>139166.66666666666</v>
      </c>
      <c r="D120" s="445">
        <f>D118+D119</f>
        <v>123666.66666666667</v>
      </c>
      <c r="E120" s="445">
        <f>E118+E119</f>
        <v>108166.66666666667</v>
      </c>
      <c r="F120" s="446">
        <f>F118+F119</f>
        <v>100416.66666666667</v>
      </c>
      <c r="G120" s="447">
        <v>0</v>
      </c>
      <c r="H120" s="1" t="s">
        <v>1404</v>
      </c>
      <c r="I120" s="1" t="s">
        <v>3162</v>
      </c>
    </row>
    <row r="121" spans="1:9" x14ac:dyDescent="0.2">
      <c r="B121" s="418"/>
      <c r="C121" s="418"/>
      <c r="D121" s="418"/>
      <c r="E121" s="418"/>
      <c r="F121" s="536"/>
      <c r="G121" s="418"/>
    </row>
    <row r="122" spans="1:9" x14ac:dyDescent="0.2">
      <c r="A122" s="1" t="s">
        <v>712</v>
      </c>
      <c r="B122" s="256">
        <f>(165000-10000)/10*(8/12)</f>
        <v>10333.333333333332</v>
      </c>
      <c r="C122" s="256">
        <f>(165000-10000)/10</f>
        <v>15500</v>
      </c>
      <c r="D122" s="256">
        <f>(165000-10000)/10</f>
        <v>15500</v>
      </c>
      <c r="E122" s="256">
        <f>(165000-10000)/10</f>
        <v>15500</v>
      </c>
      <c r="F122" s="535">
        <f>(165000-10000)/10*6/12</f>
        <v>7750</v>
      </c>
      <c r="G122" s="256">
        <f>F122</f>
        <v>7750</v>
      </c>
      <c r="H122" s="1" t="s">
        <v>3168</v>
      </c>
    </row>
    <row r="123" spans="1:9" x14ac:dyDescent="0.2">
      <c r="B123" s="418"/>
      <c r="C123" s="418"/>
      <c r="D123" s="418"/>
      <c r="E123" s="418"/>
      <c r="F123" s="418"/>
      <c r="G123" s="418"/>
    </row>
    <row r="124" spans="1:9" x14ac:dyDescent="0.2">
      <c r="A124" s="1" t="s">
        <v>748</v>
      </c>
      <c r="B124" s="129"/>
      <c r="C124" s="129"/>
      <c r="D124" s="129"/>
      <c r="E124" s="129"/>
      <c r="F124" s="129"/>
      <c r="G124" s="44">
        <f>25000-100417</f>
        <v>-75417</v>
      </c>
      <c r="H124" s="1" t="s">
        <v>3163</v>
      </c>
    </row>
    <row r="125" spans="1:9" x14ac:dyDescent="0.2">
      <c r="H125" s="1" t="s">
        <v>3164</v>
      </c>
    </row>
    <row r="127" spans="1:9" x14ac:dyDescent="0.2">
      <c r="A127" s="6" t="s">
        <v>84</v>
      </c>
      <c r="B127" s="1" t="s">
        <v>714</v>
      </c>
    </row>
    <row r="128" spans="1:9" x14ac:dyDescent="0.2">
      <c r="B128" s="1" t="s">
        <v>715</v>
      </c>
    </row>
    <row r="129" spans="1:8" x14ac:dyDescent="0.2">
      <c r="B129" s="1" t="s">
        <v>716</v>
      </c>
    </row>
    <row r="130" spans="1:8" x14ac:dyDescent="0.2">
      <c r="B130" s="1" t="s">
        <v>717</v>
      </c>
    </row>
    <row r="133" spans="1:8" x14ac:dyDescent="0.2">
      <c r="A133" s="1" t="s">
        <v>718</v>
      </c>
      <c r="F133" s="1" t="s">
        <v>719</v>
      </c>
      <c r="H133" s="41">
        <v>200000</v>
      </c>
    </row>
    <row r="134" spans="1:8" x14ac:dyDescent="0.2">
      <c r="A134" s="1" t="s">
        <v>701</v>
      </c>
      <c r="F134" s="1" t="s">
        <v>720</v>
      </c>
      <c r="H134" s="44">
        <f>-40%*H133</f>
        <v>-80000</v>
      </c>
    </row>
    <row r="135" spans="1:8" x14ac:dyDescent="0.2">
      <c r="A135" s="1" t="s">
        <v>702</v>
      </c>
      <c r="F135" s="1" t="s">
        <v>721</v>
      </c>
      <c r="H135" s="41">
        <v>20000</v>
      </c>
    </row>
    <row r="136" spans="1:8" x14ac:dyDescent="0.2">
      <c r="A136" s="1" t="s">
        <v>703</v>
      </c>
      <c r="F136" s="1" t="s">
        <v>722</v>
      </c>
      <c r="H136" s="41">
        <v>15000</v>
      </c>
    </row>
    <row r="137" spans="1:8" ht="17" thickBot="1" x14ac:dyDescent="0.25">
      <c r="A137" s="1" t="s">
        <v>704</v>
      </c>
      <c r="F137" s="1" t="s">
        <v>723</v>
      </c>
      <c r="H137" s="41">
        <v>10000</v>
      </c>
    </row>
    <row r="138" spans="1:8" ht="17" thickBot="1" x14ac:dyDescent="0.25">
      <c r="A138" s="1" t="s">
        <v>705</v>
      </c>
      <c r="F138" s="1" t="s">
        <v>727</v>
      </c>
      <c r="H138" s="128">
        <f>SUM(H133:H137)</f>
        <v>165000</v>
      </c>
    </row>
    <row r="139" spans="1:8" x14ac:dyDescent="0.2">
      <c r="A139" s="1" t="s">
        <v>706</v>
      </c>
    </row>
    <row r="140" spans="1:8" x14ac:dyDescent="0.2">
      <c r="A140" s="1" t="s">
        <v>707</v>
      </c>
    </row>
    <row r="142" spans="1:8" x14ac:dyDescent="0.2">
      <c r="A142" s="1" t="s">
        <v>724</v>
      </c>
    </row>
    <row r="143" spans="1:8" x14ac:dyDescent="0.2">
      <c r="A143" s="1" t="s">
        <v>725</v>
      </c>
    </row>
    <row r="144" spans="1:8" x14ac:dyDescent="0.2">
      <c r="A144" s="1" t="s">
        <v>726</v>
      </c>
    </row>
    <row r="146" spans="1:2" x14ac:dyDescent="0.2">
      <c r="A146" s="6" t="s">
        <v>86</v>
      </c>
      <c r="B146" s="1" t="s">
        <v>729</v>
      </c>
    </row>
    <row r="150" spans="1:2" x14ac:dyDescent="0.2">
      <c r="B150" s="1" t="s">
        <v>2577</v>
      </c>
    </row>
    <row r="151" spans="1:2" x14ac:dyDescent="0.2">
      <c r="B151" s="1" t="s">
        <v>728</v>
      </c>
    </row>
    <row r="152" spans="1:2" x14ac:dyDescent="0.2">
      <c r="B152" s="1" t="s">
        <v>2578</v>
      </c>
    </row>
    <row r="154" spans="1:2" x14ac:dyDescent="0.2">
      <c r="A154" s="1" t="s">
        <v>730</v>
      </c>
    </row>
    <row r="155" spans="1:2" x14ac:dyDescent="0.2">
      <c r="A155" s="1" t="s">
        <v>708</v>
      </c>
    </row>
    <row r="156" spans="1:2" x14ac:dyDescent="0.2">
      <c r="A156" s="1" t="s">
        <v>731</v>
      </c>
    </row>
    <row r="157" spans="1:2" x14ac:dyDescent="0.2">
      <c r="A157" s="1" t="s">
        <v>732</v>
      </c>
    </row>
    <row r="161" spans="1:2" x14ac:dyDescent="0.2">
      <c r="A161" s="1" t="s">
        <v>2579</v>
      </c>
    </row>
    <row r="166" spans="1:2" x14ac:dyDescent="0.2">
      <c r="A166" s="1" t="s">
        <v>733</v>
      </c>
      <c r="B166" s="1" t="s">
        <v>734</v>
      </c>
    </row>
    <row r="168" spans="1:2" x14ac:dyDescent="0.2">
      <c r="B168" s="130" t="s">
        <v>735</v>
      </c>
    </row>
    <row r="169" spans="1:2" x14ac:dyDescent="0.2">
      <c r="B169" s="130" t="s">
        <v>709</v>
      </c>
    </row>
    <row r="170" spans="1:2" x14ac:dyDescent="0.2">
      <c r="B170" s="130" t="s">
        <v>736</v>
      </c>
    </row>
    <row r="171" spans="1:2" x14ac:dyDescent="0.2">
      <c r="B171" s="130" t="s">
        <v>737</v>
      </c>
    </row>
    <row r="172" spans="1:2" x14ac:dyDescent="0.2">
      <c r="B172" s="1" t="s">
        <v>738</v>
      </c>
    </row>
    <row r="176" spans="1:2" x14ac:dyDescent="0.2">
      <c r="B176" s="2" t="s">
        <v>740</v>
      </c>
    </row>
    <row r="177" spans="1:8" x14ac:dyDescent="0.2">
      <c r="B177" s="1" t="s">
        <v>741</v>
      </c>
    </row>
    <row r="178" spans="1:8" x14ac:dyDescent="0.2">
      <c r="B178" s="1" t="s">
        <v>742</v>
      </c>
    </row>
    <row r="180" spans="1:8" x14ac:dyDescent="0.2">
      <c r="B180" s="1" t="s">
        <v>743</v>
      </c>
      <c r="E180" s="24">
        <v>25000</v>
      </c>
    </row>
    <row r="181" spans="1:8" ht="17" thickBot="1" x14ac:dyDescent="0.25">
      <c r="B181" s="1" t="s">
        <v>744</v>
      </c>
      <c r="E181" s="23">
        <f>-F120</f>
        <v>-100416.66666666667</v>
      </c>
    </row>
    <row r="182" spans="1:8" ht="17" thickBot="1" x14ac:dyDescent="0.25">
      <c r="B182" s="1" t="s">
        <v>745</v>
      </c>
      <c r="E182" s="131">
        <f>E180+E181</f>
        <v>-75416.666666666672</v>
      </c>
    </row>
    <row r="184" spans="1:8" x14ac:dyDescent="0.2">
      <c r="B184" s="1" t="s">
        <v>746</v>
      </c>
    </row>
    <row r="185" spans="1:8" x14ac:dyDescent="0.2">
      <c r="B185" s="1" t="s">
        <v>747</v>
      </c>
    </row>
    <row r="187" spans="1:8" x14ac:dyDescent="0.2">
      <c r="B187" s="2" t="s">
        <v>749</v>
      </c>
    </row>
    <row r="188" spans="1:8" x14ac:dyDescent="0.2">
      <c r="B188" s="1" t="s">
        <v>750</v>
      </c>
    </row>
    <row r="189" spans="1:8" x14ac:dyDescent="0.2">
      <c r="B189" s="1" t="s">
        <v>751</v>
      </c>
    </row>
    <row r="191" spans="1:8" x14ac:dyDescent="0.2">
      <c r="A191" s="34" t="s">
        <v>752</v>
      </c>
      <c r="B191" s="34"/>
      <c r="C191" s="34"/>
      <c r="D191" s="34"/>
      <c r="E191" s="34"/>
      <c r="F191" s="34"/>
      <c r="G191" s="34"/>
      <c r="H191" s="34"/>
    </row>
    <row r="195" spans="1:11" x14ac:dyDescent="0.2">
      <c r="J195" s="537" t="s">
        <v>739</v>
      </c>
      <c r="K195" s="1" t="s">
        <v>2670</v>
      </c>
    </row>
    <row r="196" spans="1:11" x14ac:dyDescent="0.2">
      <c r="H196" s="86">
        <v>42004</v>
      </c>
      <c r="I196" s="86">
        <v>42369</v>
      </c>
      <c r="J196" s="538">
        <v>42644</v>
      </c>
      <c r="K196" s="86">
        <v>42735</v>
      </c>
    </row>
    <row r="197" spans="1:11" x14ac:dyDescent="0.2">
      <c r="G197" s="1" t="s">
        <v>713</v>
      </c>
      <c r="H197" s="44">
        <f>4199+301</f>
        <v>4500</v>
      </c>
      <c r="I197" s="44">
        <f>H197</f>
        <v>4500</v>
      </c>
      <c r="J197" s="539">
        <f>I197</f>
        <v>4500</v>
      </c>
      <c r="K197" s="44">
        <v>0</v>
      </c>
    </row>
    <row r="198" spans="1:11" ht="17" thickBot="1" x14ac:dyDescent="0.25">
      <c r="G198" s="1" t="s">
        <v>667</v>
      </c>
      <c r="H198" s="44">
        <f>-H201</f>
        <v>-550</v>
      </c>
      <c r="I198" s="44">
        <f>H198-I201</f>
        <v>-1150</v>
      </c>
      <c r="J198" s="539">
        <f>I198-J201</f>
        <v>-1600</v>
      </c>
      <c r="K198" s="44">
        <v>0</v>
      </c>
    </row>
    <row r="199" spans="1:11" ht="17" thickBot="1" x14ac:dyDescent="0.25">
      <c r="G199" s="1" t="s">
        <v>696</v>
      </c>
      <c r="H199" s="125">
        <f>H197+H198</f>
        <v>3950</v>
      </c>
      <c r="I199" s="126">
        <f>I197+I198</f>
        <v>3350</v>
      </c>
      <c r="J199" s="126">
        <f>J197+J198</f>
        <v>2900</v>
      </c>
      <c r="K199" s="127">
        <v>0</v>
      </c>
    </row>
    <row r="200" spans="1:11" x14ac:dyDescent="0.2">
      <c r="H200" s="23"/>
      <c r="I200" s="23"/>
      <c r="J200" s="540"/>
      <c r="K200" s="23"/>
    </row>
    <row r="201" spans="1:11" x14ac:dyDescent="0.2">
      <c r="G201" s="1" t="s">
        <v>712</v>
      </c>
      <c r="H201" s="44">
        <f>(4500-1500)/5*(11/12)</f>
        <v>550</v>
      </c>
      <c r="I201" s="44">
        <f>(4500-1500)/5</f>
        <v>600</v>
      </c>
      <c r="J201" s="539">
        <f>(4500-1500)/5*(9/12)</f>
        <v>450</v>
      </c>
      <c r="K201" s="44">
        <f>J201</f>
        <v>450</v>
      </c>
    </row>
    <row r="202" spans="1:11" x14ac:dyDescent="0.2">
      <c r="H202" s="23"/>
      <c r="I202" s="23"/>
      <c r="J202" s="540"/>
      <c r="K202" s="23"/>
    </row>
    <row r="203" spans="1:11" x14ac:dyDescent="0.2">
      <c r="A203" s="1" t="s">
        <v>753</v>
      </c>
      <c r="G203" s="1" t="s">
        <v>760</v>
      </c>
      <c r="H203" s="129"/>
      <c r="I203" s="129"/>
      <c r="J203" s="129"/>
      <c r="K203" s="6">
        <f>3200-2900</f>
        <v>300</v>
      </c>
    </row>
    <row r="204" spans="1:11" x14ac:dyDescent="0.2">
      <c r="A204" s="1" t="s">
        <v>754</v>
      </c>
    </row>
    <row r="205" spans="1:11" x14ac:dyDescent="0.2">
      <c r="A205" s="1" t="s">
        <v>755</v>
      </c>
    </row>
    <row r="206" spans="1:11" x14ac:dyDescent="0.2">
      <c r="A206" s="1" t="s">
        <v>756</v>
      </c>
    </row>
    <row r="207" spans="1:11" x14ac:dyDescent="0.2">
      <c r="A207" s="1" t="s">
        <v>757</v>
      </c>
    </row>
    <row r="208" spans="1:11" x14ac:dyDescent="0.2">
      <c r="A208" s="1" t="s">
        <v>758</v>
      </c>
    </row>
    <row r="210" spans="1:5" x14ac:dyDescent="0.2">
      <c r="A210" s="1" t="s">
        <v>759</v>
      </c>
    </row>
    <row r="211" spans="1:5" x14ac:dyDescent="0.2">
      <c r="D211" s="6" t="s">
        <v>739</v>
      </c>
    </row>
    <row r="212" spans="1:5" x14ac:dyDescent="0.2">
      <c r="B212" s="86">
        <v>42004</v>
      </c>
      <c r="C212" s="86">
        <v>42369</v>
      </c>
      <c r="D212" s="86">
        <v>42644</v>
      </c>
      <c r="E212" s="86">
        <v>42735</v>
      </c>
    </row>
    <row r="213" spans="1:5" x14ac:dyDescent="0.2">
      <c r="A213" s="1" t="s">
        <v>713</v>
      </c>
      <c r="B213" s="44">
        <f>4199+301</f>
        <v>4500</v>
      </c>
      <c r="C213" s="44">
        <f>B213</f>
        <v>4500</v>
      </c>
      <c r="D213" s="44">
        <f>C213</f>
        <v>4500</v>
      </c>
      <c r="E213" s="44">
        <v>0</v>
      </c>
    </row>
    <row r="214" spans="1:5" ht="17" thickBot="1" x14ac:dyDescent="0.25">
      <c r="A214" s="1" t="s">
        <v>667</v>
      </c>
      <c r="B214" s="44">
        <f>-B217</f>
        <v>-550</v>
      </c>
      <c r="C214" s="44">
        <f>B214-C217</f>
        <v>-1150</v>
      </c>
      <c r="D214" s="44">
        <f>C214-D217</f>
        <v>-1600</v>
      </c>
      <c r="E214" s="44">
        <v>0</v>
      </c>
    </row>
    <row r="215" spans="1:5" ht="17" thickBot="1" x14ac:dyDescent="0.25">
      <c r="A215" s="1" t="s">
        <v>696</v>
      </c>
      <c r="B215" s="125">
        <f>B213+B214</f>
        <v>3950</v>
      </c>
      <c r="C215" s="126">
        <f>C213+C214</f>
        <v>3350</v>
      </c>
      <c r="D215" s="126">
        <f>D213+D214</f>
        <v>2900</v>
      </c>
      <c r="E215" s="127">
        <v>0</v>
      </c>
    </row>
    <row r="216" spans="1:5" x14ac:dyDescent="0.2">
      <c r="B216" s="23"/>
      <c r="C216" s="23"/>
      <c r="D216" s="23"/>
      <c r="E216" s="23"/>
    </row>
    <row r="217" spans="1:5" x14ac:dyDescent="0.2">
      <c r="A217" s="1" t="s">
        <v>712</v>
      </c>
      <c r="B217" s="44">
        <f>((4500-1500)/5)/12*11</f>
        <v>550</v>
      </c>
      <c r="C217" s="44">
        <f>(4500-1500)/5</f>
        <v>600</v>
      </c>
      <c r="D217" s="44">
        <f>((4500-1500)/5)/12*9</f>
        <v>450</v>
      </c>
      <c r="E217" s="44">
        <f>D217</f>
        <v>450</v>
      </c>
    </row>
    <row r="218" spans="1:5" x14ac:dyDescent="0.2">
      <c r="B218" s="23"/>
      <c r="C218" s="23"/>
      <c r="D218" s="23"/>
      <c r="E218" s="23"/>
    </row>
    <row r="219" spans="1:5" x14ac:dyDescent="0.2">
      <c r="A219" s="1" t="s">
        <v>760</v>
      </c>
      <c r="B219" s="129"/>
      <c r="C219" s="129"/>
      <c r="D219" s="129"/>
      <c r="E219" s="6">
        <f>3200-2900</f>
        <v>300</v>
      </c>
    </row>
    <row r="221" spans="1:5" x14ac:dyDescent="0.2">
      <c r="A221" s="2" t="s">
        <v>761</v>
      </c>
    </row>
    <row r="222" spans="1:5" x14ac:dyDescent="0.2">
      <c r="A222" s="1" t="s">
        <v>762</v>
      </c>
    </row>
    <row r="223" spans="1:5" x14ac:dyDescent="0.2">
      <c r="A223" s="1" t="s">
        <v>763</v>
      </c>
    </row>
    <row r="224" spans="1:5" x14ac:dyDescent="0.2">
      <c r="A224" s="1" t="s">
        <v>764</v>
      </c>
    </row>
    <row r="225" spans="1:1" x14ac:dyDescent="0.2">
      <c r="A225" s="1" t="s">
        <v>765</v>
      </c>
    </row>
    <row r="226" spans="1:1" x14ac:dyDescent="0.2">
      <c r="A226" s="1" t="s">
        <v>766</v>
      </c>
    </row>
    <row r="228" spans="1:1" x14ac:dyDescent="0.2">
      <c r="A228" s="1" t="s">
        <v>767</v>
      </c>
    </row>
    <row r="229" spans="1:1" x14ac:dyDescent="0.2">
      <c r="A229" s="1" t="s">
        <v>768</v>
      </c>
    </row>
    <row r="230" spans="1:1" x14ac:dyDescent="0.2">
      <c r="A230" s="1" t="s">
        <v>769</v>
      </c>
    </row>
    <row r="233" spans="1:1" x14ac:dyDescent="0.2">
      <c r="A233" s="1" t="s">
        <v>770</v>
      </c>
    </row>
    <row r="234" spans="1:1" x14ac:dyDescent="0.2">
      <c r="A234" s="1" t="s">
        <v>771</v>
      </c>
    </row>
    <row r="238" spans="1:1" x14ac:dyDescent="0.2">
      <c r="A238" s="1" t="s">
        <v>772</v>
      </c>
    </row>
    <row r="242" spans="1:6" x14ac:dyDescent="0.2">
      <c r="A242" s="1" t="s">
        <v>773</v>
      </c>
    </row>
    <row r="243" spans="1:6" x14ac:dyDescent="0.2">
      <c r="A243" s="1" t="s">
        <v>774</v>
      </c>
      <c r="F243" s="1" t="s">
        <v>775</v>
      </c>
    </row>
    <row r="245" spans="1:6" x14ac:dyDescent="0.2">
      <c r="A245" s="1" t="s">
        <v>776</v>
      </c>
    </row>
    <row r="246" spans="1:6" x14ac:dyDescent="0.2">
      <c r="A246" s="1" t="s">
        <v>777</v>
      </c>
    </row>
    <row r="248" spans="1:6" x14ac:dyDescent="0.2">
      <c r="C248" s="1" t="s">
        <v>743</v>
      </c>
      <c r="E248" s="24">
        <v>3200</v>
      </c>
    </row>
    <row r="249" spans="1:6" ht="17" thickBot="1" x14ac:dyDescent="0.25">
      <c r="C249" s="1" t="s">
        <v>696</v>
      </c>
      <c r="E249" s="24">
        <v>2900</v>
      </c>
    </row>
    <row r="250" spans="1:6" ht="17" thickBot="1" x14ac:dyDescent="0.25">
      <c r="C250" s="1" t="s">
        <v>778</v>
      </c>
      <c r="E250" s="26">
        <f>E248-E249</f>
        <v>300</v>
      </c>
    </row>
    <row r="252" spans="1:6" x14ac:dyDescent="0.2">
      <c r="A252" s="1" t="s">
        <v>779</v>
      </c>
    </row>
    <row r="262" spans="1:8" x14ac:dyDescent="0.2">
      <c r="A262" s="132" t="s">
        <v>2581</v>
      </c>
      <c r="B262" s="132"/>
      <c r="C262" s="132"/>
      <c r="D262" s="132"/>
      <c r="E262" s="132"/>
      <c r="F262" s="132" t="s">
        <v>2580</v>
      </c>
      <c r="G262" s="132"/>
      <c r="H262" s="132"/>
    </row>
    <row r="263" spans="1:8" x14ac:dyDescent="0.2">
      <c r="A263" s="1" t="s">
        <v>787</v>
      </c>
    </row>
    <row r="264" spans="1:8" x14ac:dyDescent="0.2">
      <c r="A264" s="1" t="s">
        <v>1932</v>
      </c>
    </row>
    <row r="265" spans="1:8" x14ac:dyDescent="0.2">
      <c r="A265" s="1" t="s">
        <v>788</v>
      </c>
    </row>
    <row r="266" spans="1:8" x14ac:dyDescent="0.2">
      <c r="A266" s="1" t="s">
        <v>789</v>
      </c>
    </row>
    <row r="267" spans="1:8" x14ac:dyDescent="0.2">
      <c r="A267" s="1" t="s">
        <v>790</v>
      </c>
    </row>
    <row r="268" spans="1:8" x14ac:dyDescent="0.2">
      <c r="A268" s="1" t="s">
        <v>791</v>
      </c>
    </row>
    <row r="269" spans="1:8" x14ac:dyDescent="0.2">
      <c r="A269" s="1" t="s">
        <v>792</v>
      </c>
    </row>
    <row r="271" spans="1:8" x14ac:dyDescent="0.2">
      <c r="A271" s="2" t="s">
        <v>793</v>
      </c>
    </row>
    <row r="272" spans="1:8" x14ac:dyDescent="0.2">
      <c r="A272" s="2" t="s">
        <v>794</v>
      </c>
    </row>
    <row r="273" spans="1:8" x14ac:dyDescent="0.2">
      <c r="A273" s="2"/>
    </row>
    <row r="274" spans="1:8" x14ac:dyDescent="0.2">
      <c r="A274" s="2"/>
      <c r="H274" s="6" t="s">
        <v>808</v>
      </c>
    </row>
    <row r="275" spans="1:8" x14ac:dyDescent="0.2">
      <c r="A275" s="2"/>
      <c r="H275" s="6" t="s">
        <v>809</v>
      </c>
    </row>
    <row r="276" spans="1:8" x14ac:dyDescent="0.2">
      <c r="D276" s="6" t="s">
        <v>796</v>
      </c>
      <c r="E276" s="6" t="s">
        <v>796</v>
      </c>
      <c r="F276" s="6" t="s">
        <v>796</v>
      </c>
      <c r="G276" s="136" t="s">
        <v>797</v>
      </c>
      <c r="H276" s="6" t="s">
        <v>796</v>
      </c>
    </row>
    <row r="277" spans="1:8" x14ac:dyDescent="0.2">
      <c r="D277" s="86">
        <v>43100</v>
      </c>
      <c r="E277" s="86">
        <v>43465</v>
      </c>
      <c r="F277" s="86">
        <v>43830</v>
      </c>
      <c r="G277" s="137">
        <v>44044</v>
      </c>
      <c r="H277" s="86">
        <v>44196</v>
      </c>
    </row>
    <row r="278" spans="1:8" x14ac:dyDescent="0.2">
      <c r="A278" s="1" t="s">
        <v>798</v>
      </c>
      <c r="B278" s="1" t="s">
        <v>695</v>
      </c>
      <c r="D278" s="44">
        <f>4000+200</f>
        <v>4200</v>
      </c>
      <c r="E278" s="44">
        <f>D278</f>
        <v>4200</v>
      </c>
      <c r="F278" s="44">
        <f>E278</f>
        <v>4200</v>
      </c>
      <c r="G278" s="138">
        <f>F278</f>
        <v>4200</v>
      </c>
      <c r="H278" s="44">
        <v>0</v>
      </c>
    </row>
    <row r="279" spans="1:8" x14ac:dyDescent="0.2">
      <c r="A279" s="1" t="s">
        <v>800</v>
      </c>
      <c r="B279" s="1" t="s">
        <v>667</v>
      </c>
      <c r="D279" s="44">
        <f>-D282</f>
        <v>-500</v>
      </c>
      <c r="E279" s="44">
        <f>D279-E282</f>
        <v>-1100</v>
      </c>
      <c r="F279" s="44">
        <f>E279-F282</f>
        <v>-1700</v>
      </c>
      <c r="G279" s="138">
        <f>F279-G282</f>
        <v>-2050</v>
      </c>
      <c r="H279" s="44">
        <v>0</v>
      </c>
    </row>
    <row r="280" spans="1:8" x14ac:dyDescent="0.2">
      <c r="A280" s="1" t="s">
        <v>801</v>
      </c>
      <c r="B280" s="1" t="s">
        <v>795</v>
      </c>
      <c r="D280" s="134">
        <f>D278+D279</f>
        <v>3700</v>
      </c>
      <c r="E280" s="134">
        <f>E278+E279</f>
        <v>3100</v>
      </c>
      <c r="F280" s="134">
        <f>F278+F279</f>
        <v>2500</v>
      </c>
      <c r="G280" s="139">
        <f>G278+G279</f>
        <v>2150</v>
      </c>
      <c r="H280" s="134">
        <v>0</v>
      </c>
    </row>
    <row r="281" spans="1:8" x14ac:dyDescent="0.2">
      <c r="G281" s="119"/>
    </row>
    <row r="282" spans="1:8" x14ac:dyDescent="0.2">
      <c r="A282" s="1" t="s">
        <v>799</v>
      </c>
      <c r="B282" s="1" t="s">
        <v>712</v>
      </c>
      <c r="D282" s="6">
        <f>E304</f>
        <v>500</v>
      </c>
      <c r="E282" s="6">
        <v>600</v>
      </c>
      <c r="F282" s="6">
        <v>600</v>
      </c>
      <c r="G282" s="136">
        <v>350</v>
      </c>
      <c r="H282" s="6">
        <f>G282</f>
        <v>350</v>
      </c>
    </row>
    <row r="283" spans="1:8" x14ac:dyDescent="0.2">
      <c r="G283" s="119"/>
    </row>
    <row r="284" spans="1:8" x14ac:dyDescent="0.2">
      <c r="A284" s="1" t="s">
        <v>802</v>
      </c>
      <c r="B284" s="1" t="s">
        <v>748</v>
      </c>
      <c r="G284" s="119"/>
      <c r="H284" s="44">
        <f>E315</f>
        <v>-250</v>
      </c>
    </row>
    <row r="286" spans="1:8" x14ac:dyDescent="0.2">
      <c r="A286" s="1" t="s">
        <v>803</v>
      </c>
    </row>
    <row r="287" spans="1:8" x14ac:dyDescent="0.2">
      <c r="A287" s="1" t="s">
        <v>804</v>
      </c>
    </row>
    <row r="288" spans="1:8" x14ac:dyDescent="0.2">
      <c r="A288" s="1" t="s">
        <v>806</v>
      </c>
    </row>
    <row r="289" spans="1:7" x14ac:dyDescent="0.2">
      <c r="A289" s="1" t="s">
        <v>805</v>
      </c>
    </row>
    <row r="290" spans="1:7" x14ac:dyDescent="0.2">
      <c r="A290" s="1" t="s">
        <v>807</v>
      </c>
    </row>
    <row r="292" spans="1:7" x14ac:dyDescent="0.2">
      <c r="A292" s="1" t="s">
        <v>810</v>
      </c>
    </row>
    <row r="293" spans="1:7" x14ac:dyDescent="0.2">
      <c r="A293" s="1" t="s">
        <v>811</v>
      </c>
    </row>
    <row r="294" spans="1:7" x14ac:dyDescent="0.2">
      <c r="A294" s="1" t="s">
        <v>812</v>
      </c>
      <c r="D294" s="6">
        <f>D282</f>
        <v>500</v>
      </c>
      <c r="G294" s="1" t="s">
        <v>813</v>
      </c>
    </row>
    <row r="296" spans="1:7" x14ac:dyDescent="0.2">
      <c r="A296" s="1" t="s">
        <v>814</v>
      </c>
    </row>
    <row r="297" spans="1:7" x14ac:dyDescent="0.2">
      <c r="A297" s="1" t="s">
        <v>815</v>
      </c>
    </row>
    <row r="299" spans="1:7" x14ac:dyDescent="0.2">
      <c r="A299" s="1" t="s">
        <v>816</v>
      </c>
      <c r="C299" s="87" t="s">
        <v>817</v>
      </c>
    </row>
    <row r="300" spans="1:7" x14ac:dyDescent="0.2">
      <c r="A300" s="1" t="s">
        <v>818</v>
      </c>
      <c r="C300" s="87" t="s">
        <v>819</v>
      </c>
      <c r="D300" s="1" t="s">
        <v>824</v>
      </c>
    </row>
    <row r="301" spans="1:7" x14ac:dyDescent="0.2">
      <c r="A301" s="1" t="s">
        <v>820</v>
      </c>
      <c r="C301" s="135" t="s">
        <v>821</v>
      </c>
      <c r="D301" s="1" t="s">
        <v>825</v>
      </c>
    </row>
    <row r="302" spans="1:7" x14ac:dyDescent="0.2">
      <c r="A302" s="1" t="s">
        <v>822</v>
      </c>
      <c r="C302" s="87" t="s">
        <v>823</v>
      </c>
    </row>
    <row r="304" spans="1:7" x14ac:dyDescent="0.2">
      <c r="A304" s="1" t="s">
        <v>826</v>
      </c>
      <c r="E304" s="6">
        <f>600/12*10</f>
        <v>500</v>
      </c>
      <c r="G304" s="1" t="s">
        <v>827</v>
      </c>
    </row>
    <row r="305" spans="1:8" x14ac:dyDescent="0.2">
      <c r="A305" s="1" t="s">
        <v>828</v>
      </c>
      <c r="E305" s="6">
        <v>600</v>
      </c>
    </row>
    <row r="306" spans="1:8" x14ac:dyDescent="0.2">
      <c r="A306" s="1" t="s">
        <v>829</v>
      </c>
      <c r="E306" s="6">
        <v>600</v>
      </c>
    </row>
    <row r="307" spans="1:8" x14ac:dyDescent="0.2">
      <c r="A307" s="1" t="s">
        <v>830</v>
      </c>
      <c r="E307" s="6">
        <f>600/12*7</f>
        <v>350</v>
      </c>
      <c r="G307" s="1" t="s">
        <v>831</v>
      </c>
    </row>
    <row r="309" spans="1:8" x14ac:dyDescent="0.2">
      <c r="A309" s="1" t="s">
        <v>832</v>
      </c>
    </row>
    <row r="310" spans="1:8" x14ac:dyDescent="0.2">
      <c r="A310" s="1" t="s">
        <v>833</v>
      </c>
    </row>
    <row r="311" spans="1:8" x14ac:dyDescent="0.2">
      <c r="A311" s="1" t="s">
        <v>834</v>
      </c>
    </row>
    <row r="313" spans="1:8" x14ac:dyDescent="0.2">
      <c r="C313" s="1" t="s">
        <v>836</v>
      </c>
      <c r="E313" s="44">
        <v>1900</v>
      </c>
    </row>
    <row r="314" spans="1:8" x14ac:dyDescent="0.2">
      <c r="C314" s="1" t="s">
        <v>835</v>
      </c>
      <c r="D314" s="23"/>
      <c r="E314" s="44">
        <v>2150</v>
      </c>
    </row>
    <row r="315" spans="1:8" x14ac:dyDescent="0.2">
      <c r="C315" s="1" t="s">
        <v>837</v>
      </c>
      <c r="E315" s="134">
        <f>E313-E314</f>
        <v>-250</v>
      </c>
      <c r="G315" s="1" t="s">
        <v>838</v>
      </c>
    </row>
    <row r="317" spans="1:8" x14ac:dyDescent="0.2">
      <c r="A317" s="132" t="s">
        <v>2582</v>
      </c>
      <c r="B317" s="132"/>
      <c r="C317" s="132"/>
      <c r="D317" s="132"/>
      <c r="E317" s="132"/>
      <c r="F317" s="132" t="s">
        <v>2580</v>
      </c>
      <c r="G317" s="132"/>
      <c r="H317" s="132"/>
    </row>
    <row r="318" spans="1:8" x14ac:dyDescent="0.2">
      <c r="A318" s="1" t="s">
        <v>839</v>
      </c>
    </row>
    <row r="319" spans="1:8" x14ac:dyDescent="0.2">
      <c r="A319" s="1" t="s">
        <v>840</v>
      </c>
    </row>
    <row r="320" spans="1:8" x14ac:dyDescent="0.2">
      <c r="A320" s="1" t="s">
        <v>841</v>
      </c>
      <c r="C320" s="1" t="s">
        <v>842</v>
      </c>
      <c r="E320" s="1">
        <v>300</v>
      </c>
      <c r="F320" s="1" t="s">
        <v>843</v>
      </c>
    </row>
    <row r="321" spans="1:8" x14ac:dyDescent="0.2">
      <c r="C321" s="618" t="s">
        <v>844</v>
      </c>
      <c r="D321" s="618"/>
      <c r="E321" s="1">
        <v>150</v>
      </c>
      <c r="F321" s="1" t="s">
        <v>843</v>
      </c>
    </row>
    <row r="322" spans="1:8" x14ac:dyDescent="0.2">
      <c r="C322" s="87" t="s">
        <v>845</v>
      </c>
      <c r="D322" s="87"/>
      <c r="E322" s="24">
        <v>1000</v>
      </c>
      <c r="F322" s="1" t="s">
        <v>843</v>
      </c>
    </row>
    <row r="323" spans="1:8" x14ac:dyDescent="0.2">
      <c r="C323" s="87" t="s">
        <v>846</v>
      </c>
      <c r="D323" s="87"/>
      <c r="E323" s="1">
        <v>200</v>
      </c>
      <c r="F323" s="1" t="s">
        <v>843</v>
      </c>
    </row>
    <row r="324" spans="1:8" x14ac:dyDescent="0.2">
      <c r="C324" s="87" t="s">
        <v>847</v>
      </c>
      <c r="D324" s="87"/>
      <c r="E324" s="1">
        <v>140</v>
      </c>
      <c r="F324" s="1" t="s">
        <v>843</v>
      </c>
    </row>
    <row r="326" spans="1:8" x14ac:dyDescent="0.2">
      <c r="A326" s="1" t="s">
        <v>848</v>
      </c>
    </row>
    <row r="327" spans="1:8" x14ac:dyDescent="0.2">
      <c r="A327" s="1" t="s">
        <v>849</v>
      </c>
    </row>
    <row r="328" spans="1:8" x14ac:dyDescent="0.2">
      <c r="A328" s="1" t="s">
        <v>850</v>
      </c>
    </row>
    <row r="329" spans="1:8" x14ac:dyDescent="0.2">
      <c r="A329" s="1" t="s">
        <v>851</v>
      </c>
    </row>
    <row r="330" spans="1:8" x14ac:dyDescent="0.2">
      <c r="A330" s="1" t="s">
        <v>852</v>
      </c>
    </row>
    <row r="332" spans="1:8" x14ac:dyDescent="0.2">
      <c r="A332" s="2" t="s">
        <v>793</v>
      </c>
    </row>
    <row r="333" spans="1:8" x14ac:dyDescent="0.2">
      <c r="A333" s="2" t="s">
        <v>794</v>
      </c>
    </row>
    <row r="335" spans="1:8" x14ac:dyDescent="0.2">
      <c r="A335" s="2"/>
      <c r="H335" s="6" t="s">
        <v>808</v>
      </c>
    </row>
    <row r="336" spans="1:8" x14ac:dyDescent="0.2">
      <c r="A336" s="2"/>
      <c r="H336" s="6" t="s">
        <v>809</v>
      </c>
    </row>
    <row r="337" spans="1:8" x14ac:dyDescent="0.2">
      <c r="D337" s="6" t="s">
        <v>796</v>
      </c>
      <c r="E337" s="6" t="s">
        <v>796</v>
      </c>
      <c r="F337" s="6" t="s">
        <v>796</v>
      </c>
      <c r="G337" s="136" t="s">
        <v>797</v>
      </c>
      <c r="H337" s="6" t="s">
        <v>796</v>
      </c>
    </row>
    <row r="338" spans="1:8" x14ac:dyDescent="0.2">
      <c r="D338" s="86">
        <v>43100</v>
      </c>
      <c r="E338" s="86">
        <v>43465</v>
      </c>
      <c r="F338" s="86">
        <v>43830</v>
      </c>
      <c r="G338" s="137">
        <v>43831</v>
      </c>
      <c r="H338" s="86">
        <v>44196</v>
      </c>
    </row>
    <row r="339" spans="1:8" x14ac:dyDescent="0.2">
      <c r="A339" s="1" t="s">
        <v>798</v>
      </c>
      <c r="B339" s="1" t="s">
        <v>695</v>
      </c>
      <c r="D339" s="44">
        <f>1000+300+150+50</f>
        <v>1500</v>
      </c>
      <c r="E339" s="44">
        <f>D339</f>
        <v>1500</v>
      </c>
      <c r="F339" s="44">
        <f>E339</f>
        <v>1500</v>
      </c>
      <c r="G339" s="138">
        <f>F339</f>
        <v>1500</v>
      </c>
      <c r="H339" s="44">
        <v>0</v>
      </c>
    </row>
    <row r="340" spans="1:8" x14ac:dyDescent="0.2">
      <c r="A340" s="1" t="s">
        <v>800</v>
      </c>
      <c r="B340" s="1" t="s">
        <v>667</v>
      </c>
      <c r="D340" s="44">
        <f>-D343</f>
        <v>-333.33333333333331</v>
      </c>
      <c r="E340" s="44">
        <f>D340-E343</f>
        <v>-833.33333333333326</v>
      </c>
      <c r="F340" s="44">
        <f>E340-F343</f>
        <v>-1333.3333333333333</v>
      </c>
      <c r="G340" s="138">
        <f>F340-G343</f>
        <v>-1333.3333333333333</v>
      </c>
      <c r="H340" s="44">
        <v>0</v>
      </c>
    </row>
    <row r="341" spans="1:8" x14ac:dyDescent="0.2">
      <c r="A341" s="1" t="s">
        <v>801</v>
      </c>
      <c r="B341" s="1" t="s">
        <v>795</v>
      </c>
      <c r="D341" s="134">
        <f>D339+D340</f>
        <v>1166.6666666666667</v>
      </c>
      <c r="E341" s="134">
        <f>E339+E340</f>
        <v>666.66666666666674</v>
      </c>
      <c r="F341" s="134">
        <f>F339+F340</f>
        <v>166.66666666666674</v>
      </c>
      <c r="G341" s="139">
        <f>G339+G340</f>
        <v>166.66666666666674</v>
      </c>
      <c r="H341" s="134">
        <v>0</v>
      </c>
    </row>
    <row r="342" spans="1:8" x14ac:dyDescent="0.2">
      <c r="G342" s="119"/>
    </row>
    <row r="343" spans="1:8" x14ac:dyDescent="0.2">
      <c r="A343" s="1" t="s">
        <v>799</v>
      </c>
      <c r="B343" s="1" t="s">
        <v>712</v>
      </c>
      <c r="D343" s="41">
        <f>((1500-0)/3)/12*8</f>
        <v>333.33333333333331</v>
      </c>
      <c r="E343" s="6">
        <v>500</v>
      </c>
      <c r="F343" s="6">
        <v>500</v>
      </c>
      <c r="G343" s="136">
        <v>0</v>
      </c>
      <c r="H343" s="6">
        <v>0</v>
      </c>
    </row>
    <row r="344" spans="1:8" ht="17" thickBot="1" x14ac:dyDescent="0.25">
      <c r="G344" s="119"/>
    </row>
    <row r="345" spans="1:8" ht="17" thickBot="1" x14ac:dyDescent="0.25">
      <c r="A345" s="1" t="s">
        <v>802</v>
      </c>
      <c r="B345" s="1" t="s">
        <v>874</v>
      </c>
      <c r="D345" s="142"/>
      <c r="E345" s="142"/>
      <c r="F345" s="142"/>
      <c r="G345" s="142"/>
      <c r="H345" s="140">
        <f>0-G341</f>
        <v>-166.66666666666674</v>
      </c>
    </row>
    <row r="348" spans="1:8" x14ac:dyDescent="0.2">
      <c r="A348" s="2" t="s">
        <v>853</v>
      </c>
    </row>
    <row r="349" spans="1:8" x14ac:dyDescent="0.2">
      <c r="A349" s="1" t="s">
        <v>854</v>
      </c>
      <c r="D349" s="44">
        <f>D339</f>
        <v>1500</v>
      </c>
    </row>
    <row r="350" spans="1:8" x14ac:dyDescent="0.2">
      <c r="A350" s="1" t="s">
        <v>855</v>
      </c>
      <c r="D350" s="6">
        <v>0</v>
      </c>
    </row>
    <row r="351" spans="1:8" x14ac:dyDescent="0.2">
      <c r="A351" s="1" t="s">
        <v>856</v>
      </c>
      <c r="D351" s="6">
        <v>500</v>
      </c>
      <c r="F351" s="1" t="s">
        <v>857</v>
      </c>
    </row>
    <row r="353" spans="1:7" x14ac:dyDescent="0.2">
      <c r="A353" s="1" t="s">
        <v>858</v>
      </c>
      <c r="D353" s="6" t="s">
        <v>859</v>
      </c>
      <c r="E353" s="1" t="s">
        <v>860</v>
      </c>
    </row>
    <row r="354" spans="1:7" x14ac:dyDescent="0.2">
      <c r="E354" s="1" t="s">
        <v>861</v>
      </c>
    </row>
    <row r="356" spans="1:7" x14ac:dyDescent="0.2">
      <c r="A356" s="1" t="s">
        <v>862</v>
      </c>
      <c r="D356" s="6">
        <v>8</v>
      </c>
      <c r="E356" s="1" t="s">
        <v>863</v>
      </c>
    </row>
    <row r="358" spans="1:7" x14ac:dyDescent="0.2">
      <c r="A358" s="1" t="s">
        <v>864</v>
      </c>
      <c r="D358" s="141">
        <f>D351/12*D356</f>
        <v>333.33333333333331</v>
      </c>
      <c r="F358" s="1" t="s">
        <v>865</v>
      </c>
    </row>
    <row r="361" spans="1:7" x14ac:dyDescent="0.2">
      <c r="D361" s="1" t="s">
        <v>870</v>
      </c>
      <c r="F361" s="1" t="s">
        <v>866</v>
      </c>
      <c r="G361" s="1" t="s">
        <v>856</v>
      </c>
    </row>
    <row r="362" spans="1:7" x14ac:dyDescent="0.2">
      <c r="D362" s="1" t="s">
        <v>871</v>
      </c>
      <c r="F362" s="1" t="s">
        <v>867</v>
      </c>
    </row>
    <row r="363" spans="1:7" x14ac:dyDescent="0.2">
      <c r="F363" s="1" t="s">
        <v>868</v>
      </c>
    </row>
    <row r="364" spans="1:7" x14ac:dyDescent="0.2">
      <c r="F364" s="1" t="s">
        <v>869</v>
      </c>
    </row>
    <row r="366" spans="1:7" x14ac:dyDescent="0.2">
      <c r="A366" s="2" t="s">
        <v>872</v>
      </c>
    </row>
    <row r="367" spans="1:7" x14ac:dyDescent="0.2">
      <c r="A367" s="1" t="s">
        <v>873</v>
      </c>
    </row>
    <row r="370" spans="1:8" x14ac:dyDescent="0.2">
      <c r="A370" s="2" t="s">
        <v>875</v>
      </c>
    </row>
    <row r="371" spans="1:8" x14ac:dyDescent="0.2">
      <c r="A371" s="1" t="s">
        <v>876</v>
      </c>
    </row>
    <row r="372" spans="1:8" x14ac:dyDescent="0.2">
      <c r="A372" s="1" t="s">
        <v>877</v>
      </c>
    </row>
    <row r="373" spans="1:8" x14ac:dyDescent="0.2">
      <c r="A373" s="1" t="s">
        <v>878</v>
      </c>
    </row>
    <row r="375" spans="1:8" x14ac:dyDescent="0.2">
      <c r="C375" s="6" t="s">
        <v>879</v>
      </c>
      <c r="D375" s="6"/>
      <c r="E375" s="44">
        <v>0</v>
      </c>
    </row>
    <row r="376" spans="1:8" x14ac:dyDescent="0.2">
      <c r="C376" s="1" t="s">
        <v>880</v>
      </c>
      <c r="E376" s="44">
        <v>167</v>
      </c>
    </row>
    <row r="377" spans="1:8" x14ac:dyDescent="0.2">
      <c r="C377" s="1" t="s">
        <v>881</v>
      </c>
      <c r="E377" s="134">
        <f>E375-E376</f>
        <v>-167</v>
      </c>
    </row>
    <row r="379" spans="1:8" ht="23" x14ac:dyDescent="0.25">
      <c r="A379" s="448" t="s">
        <v>2584</v>
      </c>
      <c r="B379" s="448"/>
      <c r="C379" s="448"/>
      <c r="D379" s="448"/>
      <c r="E379" s="448"/>
      <c r="F379" s="448"/>
      <c r="G379" s="448"/>
      <c r="H379" s="448"/>
    </row>
    <row r="381" spans="1:8" x14ac:dyDescent="0.2">
      <c r="A381" s="1" t="s">
        <v>883</v>
      </c>
    </row>
    <row r="382" spans="1:8" x14ac:dyDescent="0.2">
      <c r="A382" s="1" t="s">
        <v>2585</v>
      </c>
    </row>
    <row r="383" spans="1:8" x14ac:dyDescent="0.2">
      <c r="A383" s="1" t="s">
        <v>2586</v>
      </c>
    </row>
    <row r="385" spans="1:8" x14ac:dyDescent="0.2">
      <c r="A385" s="1" t="s">
        <v>2587</v>
      </c>
    </row>
    <row r="386" spans="1:8" x14ac:dyDescent="0.2">
      <c r="A386" s="1" t="s">
        <v>2588</v>
      </c>
    </row>
    <row r="388" spans="1:8" x14ac:dyDescent="0.2">
      <c r="A388" s="2" t="s">
        <v>2589</v>
      </c>
      <c r="B388" s="2"/>
      <c r="C388" s="2"/>
      <c r="D388" s="2"/>
      <c r="E388" s="2"/>
      <c r="F388" s="2"/>
      <c r="G388" s="2"/>
      <c r="H388" s="2"/>
    </row>
    <row r="389" spans="1:8" x14ac:dyDescent="0.2">
      <c r="A389" s="2" t="s">
        <v>2590</v>
      </c>
      <c r="B389" s="2"/>
      <c r="C389" s="2"/>
      <c r="D389" s="2"/>
      <c r="E389" s="2"/>
      <c r="F389" s="2"/>
      <c r="G389" s="2"/>
      <c r="H389" s="2"/>
    </row>
    <row r="391" spans="1:8" x14ac:dyDescent="0.2">
      <c r="A391" s="132" t="s">
        <v>2591</v>
      </c>
      <c r="B391" s="132"/>
      <c r="C391" s="132"/>
      <c r="D391" s="132"/>
      <c r="E391" s="132"/>
      <c r="F391" s="132"/>
      <c r="G391" s="132"/>
      <c r="H391" s="132"/>
    </row>
    <row r="392" spans="1:8" x14ac:dyDescent="0.2">
      <c r="A392" s="2"/>
      <c r="B392" s="2"/>
      <c r="C392" s="2"/>
      <c r="D392" s="2"/>
      <c r="E392" s="2"/>
      <c r="F392" s="2"/>
      <c r="G392" s="2"/>
      <c r="H392" s="2"/>
    </row>
    <row r="393" spans="1:8" x14ac:dyDescent="0.2">
      <c r="A393" s="1" t="s">
        <v>2592</v>
      </c>
      <c r="B393" s="2"/>
      <c r="C393" s="2"/>
      <c r="D393" s="2"/>
      <c r="E393" s="2"/>
      <c r="F393" s="2"/>
      <c r="G393" s="2"/>
      <c r="H393" s="2"/>
    </row>
    <row r="394" spans="1:8" x14ac:dyDescent="0.2">
      <c r="A394" s="1" t="s">
        <v>2593</v>
      </c>
      <c r="B394" s="2"/>
      <c r="C394" s="2"/>
      <c r="D394" s="2"/>
      <c r="E394" s="2"/>
      <c r="F394" s="2"/>
      <c r="G394" s="2"/>
      <c r="H394" s="2"/>
    </row>
    <row r="395" spans="1:8" x14ac:dyDescent="0.2">
      <c r="A395" s="1" t="s">
        <v>2594</v>
      </c>
      <c r="B395" s="2"/>
      <c r="C395" s="2"/>
      <c r="D395" s="2"/>
      <c r="E395" s="2"/>
      <c r="F395" s="2"/>
      <c r="G395" s="2"/>
      <c r="H395" s="2"/>
    </row>
    <row r="396" spans="1:8" x14ac:dyDescent="0.2">
      <c r="A396" s="1" t="s">
        <v>2595</v>
      </c>
      <c r="B396" s="2"/>
      <c r="C396" s="2"/>
      <c r="D396" s="2"/>
      <c r="E396" s="2"/>
      <c r="F396" s="2"/>
      <c r="G396" s="2"/>
      <c r="H396" s="2"/>
    </row>
    <row r="397" spans="1:8" x14ac:dyDescent="0.2">
      <c r="A397" s="1" t="s">
        <v>2596</v>
      </c>
      <c r="B397" s="2"/>
      <c r="C397" s="2"/>
      <c r="D397" s="2"/>
      <c r="E397" s="2"/>
      <c r="F397" s="2"/>
      <c r="G397" s="2"/>
      <c r="H397" s="2"/>
    </row>
    <row r="398" spans="1:8" x14ac:dyDescent="0.2">
      <c r="A398" s="1" t="s">
        <v>2597</v>
      </c>
      <c r="B398" s="2"/>
      <c r="C398" s="2"/>
      <c r="D398" s="2"/>
      <c r="E398" s="2"/>
      <c r="F398" s="2"/>
      <c r="G398" s="2"/>
      <c r="H398" s="2"/>
    </row>
    <row r="399" spans="1:8" x14ac:dyDescent="0.2">
      <c r="A399" s="1" t="s">
        <v>2598</v>
      </c>
      <c r="B399" s="2"/>
      <c r="C399" s="2"/>
      <c r="D399" s="2"/>
      <c r="E399" s="2"/>
      <c r="F399" s="2"/>
      <c r="G399" s="2"/>
      <c r="H399" s="2"/>
    </row>
    <row r="400" spans="1:8" x14ac:dyDescent="0.2">
      <c r="A400" s="1" t="s">
        <v>2599</v>
      </c>
      <c r="B400" s="2"/>
      <c r="C400" s="2"/>
      <c r="D400" s="2"/>
      <c r="E400" s="2"/>
      <c r="F400" s="2"/>
      <c r="G400" s="2"/>
      <c r="H400" s="2"/>
    </row>
    <row r="401" spans="1:8" x14ac:dyDescent="0.2">
      <c r="A401" s="1" t="s">
        <v>2600</v>
      </c>
      <c r="B401" s="2"/>
      <c r="C401" s="2"/>
      <c r="D401" s="2"/>
      <c r="E401" s="2"/>
      <c r="F401" s="2"/>
      <c r="G401" s="2"/>
      <c r="H401" s="2"/>
    </row>
    <row r="402" spans="1:8" x14ac:dyDescent="0.2">
      <c r="A402" s="1" t="s">
        <v>2601</v>
      </c>
      <c r="B402" s="2"/>
      <c r="C402" s="2"/>
      <c r="D402" s="2"/>
      <c r="E402" s="2"/>
      <c r="F402" s="2"/>
      <c r="G402" s="2"/>
      <c r="H402" s="2"/>
    </row>
    <row r="403" spans="1:8" x14ac:dyDescent="0.2">
      <c r="A403" s="2"/>
      <c r="B403" s="2"/>
      <c r="C403" s="2"/>
      <c r="D403" s="2"/>
      <c r="E403" s="2"/>
      <c r="F403" s="2"/>
      <c r="G403" s="2"/>
      <c r="H403" s="2"/>
    </row>
    <row r="404" spans="1:8" x14ac:dyDescent="0.2">
      <c r="A404" s="2" t="s">
        <v>2602</v>
      </c>
      <c r="B404" s="2"/>
      <c r="C404" s="2"/>
      <c r="D404" s="2"/>
      <c r="E404" s="2"/>
      <c r="F404" s="2"/>
      <c r="G404" s="2"/>
      <c r="H404" s="2"/>
    </row>
    <row r="405" spans="1:8" x14ac:dyDescent="0.2">
      <c r="A405" s="2" t="s">
        <v>2603</v>
      </c>
      <c r="B405" s="2"/>
      <c r="C405" s="2"/>
      <c r="D405" s="2"/>
      <c r="E405" s="2"/>
      <c r="F405" s="2"/>
      <c r="G405" s="2"/>
      <c r="H405" s="2"/>
    </row>
    <row r="406" spans="1:8" x14ac:dyDescent="0.2">
      <c r="A406" s="2"/>
      <c r="B406" s="2"/>
      <c r="C406" s="2"/>
      <c r="D406" s="2"/>
      <c r="E406" s="2"/>
      <c r="F406" s="2"/>
      <c r="G406" s="2"/>
      <c r="H406" s="2"/>
    </row>
    <row r="407" spans="1:8" x14ac:dyDescent="0.2">
      <c r="A407" s="1" t="s">
        <v>675</v>
      </c>
      <c r="B407" s="2"/>
      <c r="C407" s="2"/>
      <c r="D407" s="2"/>
      <c r="E407" s="2"/>
      <c r="F407" s="2"/>
      <c r="G407" s="2"/>
      <c r="H407" s="2"/>
    </row>
    <row r="408" spans="1:8" x14ac:dyDescent="0.2">
      <c r="A408" s="2"/>
      <c r="B408" s="2"/>
      <c r="C408" s="2"/>
      <c r="D408" s="2"/>
      <c r="E408" s="2"/>
      <c r="F408" s="2"/>
      <c r="G408" s="2"/>
      <c r="H408" s="2"/>
    </row>
    <row r="409" spans="1:8" x14ac:dyDescent="0.2">
      <c r="A409" s="1" t="s">
        <v>2604</v>
      </c>
      <c r="B409" s="2"/>
      <c r="C409" s="2"/>
      <c r="D409" s="2"/>
      <c r="E409" s="2"/>
      <c r="F409"/>
      <c r="G409" s="2"/>
      <c r="H409" s="2"/>
    </row>
    <row r="410" spans="1:8" x14ac:dyDescent="0.2">
      <c r="A410" s="2"/>
      <c r="B410" s="2" t="s">
        <v>2605</v>
      </c>
      <c r="C410" s="2"/>
      <c r="D410" s="2">
        <v>1690</v>
      </c>
      <c r="E410" s="2"/>
      <c r="F410" s="2"/>
      <c r="G410" s="2"/>
      <c r="H410" s="2"/>
    </row>
    <row r="411" spans="1:8" x14ac:dyDescent="0.2">
      <c r="A411" s="2"/>
      <c r="B411" s="2" t="s">
        <v>2606</v>
      </c>
      <c r="C411" s="2"/>
      <c r="D411" s="2" t="s">
        <v>2607</v>
      </c>
      <c r="E411" s="2"/>
      <c r="F411" s="2"/>
      <c r="G411" s="2"/>
      <c r="H411" s="2"/>
    </row>
    <row r="412" spans="1:8" x14ac:dyDescent="0.2">
      <c r="A412" s="2"/>
      <c r="B412" s="2" t="s">
        <v>2608</v>
      </c>
      <c r="C412" s="2"/>
      <c r="D412" s="2">
        <v>200</v>
      </c>
      <c r="E412" s="2"/>
      <c r="F412" s="2"/>
      <c r="G412" s="2"/>
      <c r="H412" s="2"/>
    </row>
    <row r="413" spans="1:8" x14ac:dyDescent="0.2">
      <c r="B413" s="1" t="s">
        <v>2609</v>
      </c>
      <c r="D413" s="52">
        <f>D410+D412</f>
        <v>1890</v>
      </c>
    </row>
    <row r="415" spans="1:8" x14ac:dyDescent="0.2">
      <c r="B415" s="449">
        <v>44196</v>
      </c>
      <c r="C415" s="449">
        <v>44561</v>
      </c>
      <c r="D415" s="449">
        <v>44926</v>
      </c>
      <c r="E415" s="449">
        <v>45291</v>
      </c>
    </row>
    <row r="416" spans="1:8" x14ac:dyDescent="0.2">
      <c r="A416" s="1" t="s">
        <v>695</v>
      </c>
      <c r="B416" s="458">
        <f>D413</f>
        <v>1890</v>
      </c>
      <c r="C416" s="458">
        <f>B416</f>
        <v>1890</v>
      </c>
      <c r="D416" s="458">
        <f t="shared" ref="D416:E416" si="1">C416</f>
        <v>1890</v>
      </c>
      <c r="E416" s="458">
        <f t="shared" si="1"/>
        <v>1890</v>
      </c>
    </row>
    <row r="417" spans="1:6" x14ac:dyDescent="0.2">
      <c r="A417" s="1" t="s">
        <v>2397</v>
      </c>
      <c r="B417" s="458">
        <f>-B420</f>
        <v>-342.85714285714283</v>
      </c>
      <c r="C417" s="458">
        <f>B417-C420</f>
        <v>-628.57142857142856</v>
      </c>
      <c r="D417" s="458">
        <f>C417-D420</f>
        <v>-857.14285714285711</v>
      </c>
      <c r="E417" s="458">
        <f>D417-E420</f>
        <v>-1028.5714285714284</v>
      </c>
      <c r="F417" s="1" t="s">
        <v>2610</v>
      </c>
    </row>
    <row r="418" spans="1:6" x14ac:dyDescent="0.2">
      <c r="A418" s="1" t="s">
        <v>696</v>
      </c>
      <c r="B418" s="459">
        <f>B416+B417</f>
        <v>1547.1428571428571</v>
      </c>
      <c r="C418" s="459">
        <f t="shared" ref="C418:E418" si="2">C416+C417</f>
        <v>1261.4285714285716</v>
      </c>
      <c r="D418" s="459">
        <f t="shared" si="2"/>
        <v>1032.8571428571429</v>
      </c>
      <c r="E418" s="459">
        <f t="shared" si="2"/>
        <v>861.42857142857156</v>
      </c>
    </row>
    <row r="419" spans="1:6" x14ac:dyDescent="0.2">
      <c r="B419" s="457"/>
      <c r="C419" s="457"/>
      <c r="D419" s="457"/>
      <c r="E419" s="457"/>
    </row>
    <row r="420" spans="1:6" x14ac:dyDescent="0.2">
      <c r="A420" s="1" t="s">
        <v>712</v>
      </c>
      <c r="B420" s="457">
        <f>C444</f>
        <v>342.85714285714283</v>
      </c>
      <c r="C420" s="457">
        <f>C446</f>
        <v>285.71428571428572</v>
      </c>
      <c r="D420" s="457">
        <f>C448</f>
        <v>228.57142857142858</v>
      </c>
      <c r="E420" s="457">
        <f>C450</f>
        <v>171.42857142857142</v>
      </c>
    </row>
    <row r="421" spans="1:6" x14ac:dyDescent="0.2">
      <c r="B421" s="457"/>
      <c r="C421" s="457"/>
      <c r="D421" s="457"/>
      <c r="E421" s="457"/>
    </row>
    <row r="422" spans="1:6" x14ac:dyDescent="0.2">
      <c r="A422" s="2" t="s">
        <v>2611</v>
      </c>
    </row>
    <row r="424" spans="1:6" x14ac:dyDescent="0.2">
      <c r="A424" s="450" t="s">
        <v>2612</v>
      </c>
      <c r="B424" s="450"/>
      <c r="C424" s="450"/>
      <c r="D424" s="450"/>
    </row>
    <row r="427" spans="1:6" x14ac:dyDescent="0.2">
      <c r="A427" s="1" t="s">
        <v>683</v>
      </c>
    </row>
    <row r="428" spans="1:6" x14ac:dyDescent="0.2">
      <c r="A428" s="6" t="s">
        <v>2613</v>
      </c>
      <c r="B428" s="1" t="s">
        <v>2614</v>
      </c>
    </row>
    <row r="429" spans="1:6" x14ac:dyDescent="0.2">
      <c r="A429" s="6" t="s">
        <v>690</v>
      </c>
      <c r="B429" s="1" t="s">
        <v>2615</v>
      </c>
    </row>
    <row r="430" spans="1:6" x14ac:dyDescent="0.2">
      <c r="A430" s="6"/>
    </row>
    <row r="431" spans="1:6" x14ac:dyDescent="0.2">
      <c r="A431" s="450" t="s">
        <v>2616</v>
      </c>
      <c r="B431" s="450"/>
      <c r="C431" s="450"/>
      <c r="D431" s="450"/>
    </row>
    <row r="432" spans="1:6" x14ac:dyDescent="0.2">
      <c r="A432" s="1" t="s">
        <v>2622</v>
      </c>
    </row>
    <row r="433" spans="1:6" s="400" customFormat="1" x14ac:dyDescent="0.2">
      <c r="A433" s="400" t="s">
        <v>2623</v>
      </c>
    </row>
    <row r="434" spans="1:6" s="400" customFormat="1" x14ac:dyDescent="0.2"/>
    <row r="435" spans="1:6" s="400" customFormat="1" x14ac:dyDescent="0.2">
      <c r="B435" s="455">
        <v>3</v>
      </c>
      <c r="C435" s="455" t="s">
        <v>2625</v>
      </c>
      <c r="D435" s="455" t="s">
        <v>2624</v>
      </c>
      <c r="E435" s="455"/>
      <c r="F435" s="455" t="s">
        <v>2621</v>
      </c>
    </row>
    <row r="436" spans="1:6" x14ac:dyDescent="0.2">
      <c r="A436" s="400"/>
      <c r="B436" s="454" t="s">
        <v>2620</v>
      </c>
      <c r="C436" s="454" t="s">
        <v>2619</v>
      </c>
      <c r="D436" s="453" t="s">
        <v>2618</v>
      </c>
      <c r="F436" s="452" t="s">
        <v>2617</v>
      </c>
    </row>
    <row r="437" spans="1:6" x14ac:dyDescent="0.2">
      <c r="A437" s="400"/>
      <c r="B437" s="400"/>
      <c r="C437" s="400"/>
      <c r="D437" s="400"/>
    </row>
    <row r="438" spans="1:6" x14ac:dyDescent="0.2">
      <c r="A438" s="6"/>
      <c r="B438" s="120">
        <v>45291</v>
      </c>
      <c r="C438" s="120">
        <v>44926</v>
      </c>
      <c r="D438" s="120">
        <v>44561</v>
      </c>
      <c r="E438" s="451">
        <v>44196</v>
      </c>
      <c r="F438" s="451">
        <v>43831</v>
      </c>
    </row>
    <row r="439" spans="1:6" x14ac:dyDescent="0.2">
      <c r="A439" s="6"/>
    </row>
    <row r="440" spans="1:6" x14ac:dyDescent="0.2">
      <c r="A440" s="6"/>
    </row>
    <row r="441" spans="1:6" x14ac:dyDescent="0.2">
      <c r="A441" s="450" t="s">
        <v>2626</v>
      </c>
      <c r="B441" s="450"/>
      <c r="C441" s="450"/>
      <c r="D441" s="450"/>
    </row>
    <row r="442" spans="1:6" x14ac:dyDescent="0.2">
      <c r="A442" s="87" t="s">
        <v>2627</v>
      </c>
    </row>
    <row r="443" spans="1:6" x14ac:dyDescent="0.2">
      <c r="A443" s="87"/>
    </row>
    <row r="444" spans="1:6" x14ac:dyDescent="0.2">
      <c r="A444" s="87"/>
      <c r="C444" s="456">
        <f>(1890-690)*6/21</f>
        <v>342.85714285714283</v>
      </c>
    </row>
    <row r="445" spans="1:6" x14ac:dyDescent="0.2">
      <c r="A445" s="87"/>
      <c r="C445" s="456"/>
    </row>
    <row r="446" spans="1:6" x14ac:dyDescent="0.2">
      <c r="A446" s="87"/>
      <c r="C446" s="456">
        <f>(1890-690)*5/21</f>
        <v>285.71428571428572</v>
      </c>
    </row>
    <row r="447" spans="1:6" x14ac:dyDescent="0.2">
      <c r="A447" s="6"/>
      <c r="C447" s="456"/>
    </row>
    <row r="448" spans="1:6" x14ac:dyDescent="0.2">
      <c r="A448" s="6"/>
      <c r="C448" s="456">
        <f>(1890-690)*4/21</f>
        <v>228.57142857142858</v>
      </c>
    </row>
    <row r="449" spans="1:14" x14ac:dyDescent="0.2">
      <c r="A449" s="6"/>
      <c r="C449" s="456"/>
    </row>
    <row r="450" spans="1:14" x14ac:dyDescent="0.2">
      <c r="A450" s="6"/>
      <c r="C450" s="456">
        <f>(1890-690)*3/21</f>
        <v>171.42857142857142</v>
      </c>
    </row>
    <row r="451" spans="1:14" x14ac:dyDescent="0.2">
      <c r="A451" s="6"/>
      <c r="C451" s="456"/>
    </row>
    <row r="452" spans="1:14" x14ac:dyDescent="0.2">
      <c r="A452" s="132" t="s">
        <v>2628</v>
      </c>
      <c r="B452" s="132"/>
      <c r="C452" s="132"/>
      <c r="D452" s="132"/>
      <c r="E452" s="132"/>
      <c r="F452" s="132"/>
      <c r="G452" s="132"/>
      <c r="H452" s="132"/>
    </row>
    <row r="453" spans="1:14" x14ac:dyDescent="0.2">
      <c r="A453" t="s">
        <v>2630</v>
      </c>
    </row>
    <row r="454" spans="1:14" x14ac:dyDescent="0.2">
      <c r="A454" s="1" t="s">
        <v>2631</v>
      </c>
    </row>
    <row r="455" spans="1:14" x14ac:dyDescent="0.2">
      <c r="A455" s="1" t="s">
        <v>2632</v>
      </c>
    </row>
    <row r="456" spans="1:14" x14ac:dyDescent="0.2">
      <c r="A456" s="1" t="s">
        <v>2633</v>
      </c>
    </row>
    <row r="457" spans="1:14" x14ac:dyDescent="0.2">
      <c r="A457" s="1" t="s">
        <v>2634</v>
      </c>
    </row>
    <row r="458" spans="1:14" x14ac:dyDescent="0.2">
      <c r="A458" s="1" t="s">
        <v>2635</v>
      </c>
    </row>
    <row r="460" spans="1:14" x14ac:dyDescent="0.2">
      <c r="F460" s="1" t="s">
        <v>2629</v>
      </c>
    </row>
    <row r="461" spans="1:14" x14ac:dyDescent="0.2">
      <c r="J461" s="3" t="s">
        <v>3177</v>
      </c>
      <c r="K461" s="3"/>
      <c r="L461" s="3"/>
      <c r="M461" s="3"/>
      <c r="N461" s="3"/>
    </row>
    <row r="462" spans="1:14" x14ac:dyDescent="0.2">
      <c r="J462" s="1" t="s">
        <v>3170</v>
      </c>
      <c r="L462" s="1" t="s">
        <v>3169</v>
      </c>
    </row>
    <row r="464" spans="1:14" x14ac:dyDescent="0.2">
      <c r="J464" s="6" t="s">
        <v>3171</v>
      </c>
      <c r="K464" s="6" t="s">
        <v>3172</v>
      </c>
      <c r="L464" s="6" t="s">
        <v>3173</v>
      </c>
    </row>
    <row r="465" spans="1:14" x14ac:dyDescent="0.2">
      <c r="J465" s="451">
        <v>43191</v>
      </c>
      <c r="K465" s="451">
        <v>43555</v>
      </c>
      <c r="L465" s="6">
        <v>10</v>
      </c>
    </row>
    <row r="466" spans="1:14" x14ac:dyDescent="0.2">
      <c r="J466" s="451">
        <v>43556</v>
      </c>
      <c r="K466" s="451">
        <v>43921</v>
      </c>
      <c r="L466" s="6">
        <v>9</v>
      </c>
    </row>
    <row r="467" spans="1:14" x14ac:dyDescent="0.2">
      <c r="J467" s="451">
        <v>43922</v>
      </c>
      <c r="K467" s="451">
        <v>44286</v>
      </c>
      <c r="L467" s="6">
        <v>8</v>
      </c>
    </row>
    <row r="469" spans="1:14" x14ac:dyDescent="0.2">
      <c r="J469" s="23">
        <f>4200000*(10*0.75)/55</f>
        <v>572727.27272727271</v>
      </c>
      <c r="N469" s="1" t="s">
        <v>3174</v>
      </c>
    </row>
    <row r="470" spans="1:14" x14ac:dyDescent="0.2">
      <c r="J470" s="23">
        <f>4200000*(10*0.25+9*0.75)/55</f>
        <v>706363.63636363635</v>
      </c>
      <c r="N470" s="1" t="s">
        <v>3175</v>
      </c>
    </row>
    <row r="471" spans="1:14" x14ac:dyDescent="0.2">
      <c r="J471" s="23">
        <f>4200000*(9*0.25+8*0.75)/55</f>
        <v>630000</v>
      </c>
      <c r="N471" s="1" t="s">
        <v>3176</v>
      </c>
    </row>
    <row r="472" spans="1:14" x14ac:dyDescent="0.2">
      <c r="A472" s="1" t="s">
        <v>2636</v>
      </c>
    </row>
    <row r="482" spans="1:7" x14ac:dyDescent="0.2">
      <c r="C482" s="449">
        <v>43465</v>
      </c>
      <c r="D482" s="449">
        <v>43830</v>
      </c>
      <c r="E482" s="449">
        <v>44196</v>
      </c>
    </row>
    <row r="483" spans="1:7" x14ac:dyDescent="0.2">
      <c r="A483" s="1" t="s">
        <v>695</v>
      </c>
      <c r="C483" s="24">
        <v>5000000</v>
      </c>
      <c r="D483" s="24">
        <f>C483</f>
        <v>5000000</v>
      </c>
      <c r="E483" s="24">
        <f>D483</f>
        <v>5000000</v>
      </c>
    </row>
    <row r="484" spans="1:7" x14ac:dyDescent="0.2">
      <c r="A484" s="1" t="s">
        <v>2637</v>
      </c>
      <c r="C484" s="23">
        <f>-C487</f>
        <v>-572727.27272727271</v>
      </c>
      <c r="D484" s="23">
        <f>C484-D487</f>
        <v>-1279090.9090909092</v>
      </c>
      <c r="E484" s="23">
        <f>D484-E487</f>
        <v>-1909090.9090909092</v>
      </c>
    </row>
    <row r="485" spans="1:7" x14ac:dyDescent="0.2">
      <c r="A485" s="1" t="s">
        <v>696</v>
      </c>
      <c r="C485" s="89">
        <f>C483+C484</f>
        <v>4427272.7272727275</v>
      </c>
      <c r="D485" s="89">
        <f t="shared" ref="D485:E485" si="3">D483+D484</f>
        <v>3720909.0909090908</v>
      </c>
      <c r="E485" s="89">
        <f t="shared" si="3"/>
        <v>3090909.0909090908</v>
      </c>
    </row>
    <row r="487" spans="1:7" x14ac:dyDescent="0.2">
      <c r="A487" s="1" t="s">
        <v>712</v>
      </c>
      <c r="C487" s="23">
        <f>C502</f>
        <v>572727.27272727271</v>
      </c>
      <c r="D487" s="23">
        <f>C504</f>
        <v>706363.63636363635</v>
      </c>
      <c r="E487" s="23">
        <f>C507</f>
        <v>630000</v>
      </c>
    </row>
    <row r="489" spans="1:7" x14ac:dyDescent="0.2">
      <c r="D489" s="24">
        <f>C483+C484</f>
        <v>4427272.7272727275</v>
      </c>
    </row>
    <row r="490" spans="1:7" x14ac:dyDescent="0.2">
      <c r="A490" s="1" t="s">
        <v>2638</v>
      </c>
    </row>
    <row r="491" spans="1:7" x14ac:dyDescent="0.2">
      <c r="A491" s="1" t="s">
        <v>2639</v>
      </c>
    </row>
    <row r="492" spans="1:7" x14ac:dyDescent="0.2">
      <c r="A492" s="1" t="s">
        <v>2640</v>
      </c>
      <c r="E492" s="1" t="s">
        <v>2641</v>
      </c>
    </row>
    <row r="495" spans="1:7" x14ac:dyDescent="0.2">
      <c r="B495" s="54">
        <v>8</v>
      </c>
      <c r="E495" s="1">
        <v>9</v>
      </c>
      <c r="G495" s="6" t="s">
        <v>2642</v>
      </c>
    </row>
    <row r="497" spans="1:8" x14ac:dyDescent="0.2">
      <c r="B497" s="120">
        <v>44287</v>
      </c>
      <c r="C497" s="120">
        <v>44196</v>
      </c>
      <c r="D497" s="120">
        <v>43922</v>
      </c>
      <c r="E497" s="460">
        <v>43830</v>
      </c>
      <c r="F497" s="120">
        <v>43556</v>
      </c>
      <c r="G497" s="460">
        <v>43465</v>
      </c>
      <c r="H497" s="120">
        <v>43191</v>
      </c>
    </row>
    <row r="502" spans="1:8" x14ac:dyDescent="0.2">
      <c r="C502" s="23">
        <f>4200000*10*0.75/55</f>
        <v>572727.27272727271</v>
      </c>
    </row>
    <row r="503" spans="1:8" x14ac:dyDescent="0.2">
      <c r="C503" s="23"/>
    </row>
    <row r="504" spans="1:8" x14ac:dyDescent="0.2">
      <c r="C504" s="23">
        <f>4200000*(10*0.25+9*0.75)/55</f>
        <v>706363.63636363635</v>
      </c>
    </row>
    <row r="505" spans="1:8" x14ac:dyDescent="0.2">
      <c r="C505" s="23"/>
    </row>
    <row r="506" spans="1:8" x14ac:dyDescent="0.2">
      <c r="C506" s="23"/>
    </row>
    <row r="507" spans="1:8" x14ac:dyDescent="0.2">
      <c r="C507" s="23">
        <f>4200000*(9*0.25+8*0.75)/55</f>
        <v>630000</v>
      </c>
    </row>
    <row r="510" spans="1:8" x14ac:dyDescent="0.2">
      <c r="A510" s="132" t="s">
        <v>3178</v>
      </c>
      <c r="B510" s="132"/>
      <c r="C510" s="132"/>
      <c r="D510" s="132"/>
      <c r="E510" s="132"/>
      <c r="F510" s="132"/>
      <c r="G510" s="132"/>
      <c r="H510" s="132"/>
    </row>
    <row r="511" spans="1:8" x14ac:dyDescent="0.2">
      <c r="C511" s="1" t="s">
        <v>3179</v>
      </c>
    </row>
    <row r="512" spans="1:8" x14ac:dyDescent="0.2">
      <c r="C512" s="1" t="s">
        <v>3180</v>
      </c>
    </row>
    <row r="513" spans="1:9" x14ac:dyDescent="0.2">
      <c r="C513" s="1" t="s">
        <v>3181</v>
      </c>
    </row>
    <row r="514" spans="1:9" x14ac:dyDescent="0.2">
      <c r="C514" s="1" t="s">
        <v>3182</v>
      </c>
    </row>
    <row r="515" spans="1:9" x14ac:dyDescent="0.2">
      <c r="C515" s="1" t="s">
        <v>3183</v>
      </c>
    </row>
    <row r="516" spans="1:9" x14ac:dyDescent="0.2">
      <c r="C516" s="1" t="s">
        <v>3184</v>
      </c>
    </row>
    <row r="517" spans="1:9" x14ac:dyDescent="0.2">
      <c r="C517" s="1" t="s">
        <v>3185</v>
      </c>
    </row>
    <row r="519" spans="1:9" x14ac:dyDescent="0.2">
      <c r="A519" s="1" t="s">
        <v>3186</v>
      </c>
    </row>
    <row r="520" spans="1:9" x14ac:dyDescent="0.2">
      <c r="A520" s="1" t="s">
        <v>3187</v>
      </c>
      <c r="C520" s="1" t="s">
        <v>3188</v>
      </c>
      <c r="D520" s="1" t="s">
        <v>3189</v>
      </c>
      <c r="H520" s="110" t="s">
        <v>3192</v>
      </c>
    </row>
    <row r="521" spans="1:9" x14ac:dyDescent="0.2">
      <c r="A521" s="1" t="s">
        <v>3190</v>
      </c>
    </row>
    <row r="522" spans="1:9" x14ac:dyDescent="0.2">
      <c r="A522" s="1" t="s">
        <v>3191</v>
      </c>
    </row>
    <row r="524" spans="1:9" x14ac:dyDescent="0.2">
      <c r="C524" s="1" t="s">
        <v>3171</v>
      </c>
      <c r="D524" s="1" t="s">
        <v>3172</v>
      </c>
      <c r="E524" s="1" t="s">
        <v>3173</v>
      </c>
      <c r="G524" s="1" t="s">
        <v>328</v>
      </c>
      <c r="H524" s="1" t="s">
        <v>3173</v>
      </c>
    </row>
    <row r="525" spans="1:9" x14ac:dyDescent="0.2">
      <c r="C525" s="120">
        <v>43983</v>
      </c>
      <c r="D525" s="120">
        <v>44347</v>
      </c>
      <c r="E525" s="1">
        <v>7</v>
      </c>
      <c r="G525" s="1">
        <v>2020</v>
      </c>
      <c r="H525" s="87" t="s">
        <v>3193</v>
      </c>
    </row>
    <row r="526" spans="1:9" x14ac:dyDescent="0.2">
      <c r="C526" s="120">
        <v>44348</v>
      </c>
      <c r="D526" s="120">
        <v>44712</v>
      </c>
      <c r="E526" s="1">
        <v>6</v>
      </c>
      <c r="G526" s="1">
        <v>2021</v>
      </c>
      <c r="H526" s="618" t="s">
        <v>3194</v>
      </c>
      <c r="I526" s="618"/>
    </row>
    <row r="527" spans="1:9" x14ac:dyDescent="0.2">
      <c r="C527" s="120">
        <v>44713</v>
      </c>
      <c r="D527" s="120">
        <v>45077</v>
      </c>
      <c r="E527" s="1">
        <v>5</v>
      </c>
      <c r="G527" s="1">
        <v>2022</v>
      </c>
      <c r="H527" s="618" t="s">
        <v>3195</v>
      </c>
      <c r="I527" s="618"/>
    </row>
    <row r="528" spans="1:9" x14ac:dyDescent="0.2">
      <c r="C528" s="120">
        <v>45078</v>
      </c>
      <c r="D528" s="120">
        <v>45443</v>
      </c>
      <c r="E528" s="1">
        <v>4</v>
      </c>
      <c r="G528" s="1">
        <v>2023</v>
      </c>
      <c r="H528" s="618" t="s">
        <v>3196</v>
      </c>
      <c r="I528" s="618"/>
    </row>
    <row r="531" spans="1:8" x14ac:dyDescent="0.2">
      <c r="D531" s="24">
        <f>600000*7*7/12/28</f>
        <v>87500</v>
      </c>
    </row>
    <row r="534" spans="1:8" x14ac:dyDescent="0.2">
      <c r="D534" s="24">
        <f>600000*(7*5/12+6*7/12)/28</f>
        <v>137499.99999999997</v>
      </c>
    </row>
    <row r="536" spans="1:8" x14ac:dyDescent="0.2">
      <c r="D536" s="24">
        <f>600000*(6*5/12+5*7/12)/28</f>
        <v>116071.42857142855</v>
      </c>
    </row>
    <row r="539" spans="1:8" x14ac:dyDescent="0.2">
      <c r="D539" s="24">
        <f>600000*(5*5/12+4*7/12)/28</f>
        <v>94642.857142857145</v>
      </c>
    </row>
    <row r="542" spans="1:8" ht="17" thickBot="1" x14ac:dyDescent="0.25"/>
    <row r="543" spans="1:8" x14ac:dyDescent="0.2">
      <c r="A543" s="18" t="s">
        <v>780</v>
      </c>
      <c r="B543" s="100"/>
      <c r="C543" s="100"/>
      <c r="D543" s="100"/>
      <c r="E543" s="100"/>
      <c r="F543" s="100"/>
      <c r="G543" s="100"/>
      <c r="H543" s="19"/>
    </row>
    <row r="544" spans="1:8" x14ac:dyDescent="0.2">
      <c r="A544" s="106" t="s">
        <v>781</v>
      </c>
      <c r="H544" s="107"/>
    </row>
    <row r="545" spans="1:8" x14ac:dyDescent="0.2">
      <c r="A545" s="106" t="s">
        <v>782</v>
      </c>
      <c r="H545" s="107"/>
    </row>
    <row r="546" spans="1:8" x14ac:dyDescent="0.2">
      <c r="A546" s="106" t="s">
        <v>783</v>
      </c>
      <c r="H546" s="107"/>
    </row>
    <row r="547" spans="1:8" ht="17" thickBot="1" x14ac:dyDescent="0.25">
      <c r="A547" s="20" t="s">
        <v>784</v>
      </c>
      <c r="B547" s="103"/>
      <c r="C547" s="103"/>
      <c r="D547" s="103"/>
      <c r="E547" s="103"/>
      <c r="F547" s="103"/>
      <c r="G547" s="103"/>
      <c r="H547" s="21"/>
    </row>
  </sheetData>
  <mergeCells count="5">
    <mergeCell ref="A1:H1"/>
    <mergeCell ref="C321:D321"/>
    <mergeCell ref="H526:I526"/>
    <mergeCell ref="H527:I527"/>
    <mergeCell ref="H528:I528"/>
  </mergeCells>
  <phoneticPr fontId="39" type="noConversion"/>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7AE405F-A8E9-BE4E-A99B-8188FDB6061B}">
  <dimension ref="A1:L448"/>
  <sheetViews>
    <sheetView rightToLeft="1" topLeftCell="A431" zoomScale="228" zoomScaleNormal="310" workbookViewId="0">
      <selection activeCell="J119" sqref="J119"/>
    </sheetView>
  </sheetViews>
  <sheetFormatPr baseColWidth="10" defaultRowHeight="16" x14ac:dyDescent="0.2"/>
  <cols>
    <col min="1" max="16384" width="10.83203125" style="1"/>
  </cols>
  <sheetData>
    <row r="1" spans="1:8" x14ac:dyDescent="0.2">
      <c r="A1" s="616" t="s">
        <v>3198</v>
      </c>
      <c r="B1" s="616"/>
      <c r="C1" s="616"/>
      <c r="D1" s="616"/>
      <c r="E1" s="616"/>
      <c r="F1" s="616"/>
      <c r="G1" s="616"/>
      <c r="H1" s="616"/>
    </row>
    <row r="2" spans="1:8" x14ac:dyDescent="0.2">
      <c r="F2" s="8"/>
      <c r="H2" s="461"/>
    </row>
    <row r="3" spans="1:8" x14ac:dyDescent="0.2">
      <c r="F3" s="8"/>
      <c r="H3" s="35"/>
    </row>
    <row r="4" spans="1:8" x14ac:dyDescent="0.2">
      <c r="A4" s="133" t="s">
        <v>785</v>
      </c>
      <c r="B4" s="53"/>
      <c r="C4" s="53"/>
      <c r="D4" s="53"/>
      <c r="E4" s="53"/>
      <c r="F4" s="53"/>
      <c r="G4" s="53"/>
      <c r="H4" s="53"/>
    </row>
    <row r="5" spans="1:8" x14ac:dyDescent="0.2">
      <c r="A5" s="1" t="s">
        <v>786</v>
      </c>
    </row>
    <row r="6" spans="1:8" x14ac:dyDescent="0.2">
      <c r="A6" s="1" t="s">
        <v>3197</v>
      </c>
    </row>
    <row r="8" spans="1:8" x14ac:dyDescent="0.2">
      <c r="A8" s="85" t="s">
        <v>2643</v>
      </c>
      <c r="B8" s="85"/>
      <c r="C8" s="85"/>
      <c r="D8" s="85"/>
      <c r="E8" s="85"/>
      <c r="F8" s="85"/>
      <c r="G8" s="85"/>
      <c r="H8" s="85"/>
    </row>
    <row r="9" spans="1:8" x14ac:dyDescent="0.2">
      <c r="A9" s="1" t="s">
        <v>2644</v>
      </c>
    </row>
    <row r="11" spans="1:8" x14ac:dyDescent="0.2">
      <c r="A11" s="1" t="s">
        <v>3199</v>
      </c>
    </row>
    <row r="12" spans="1:8" x14ac:dyDescent="0.2">
      <c r="A12" s="1" t="s">
        <v>2645</v>
      </c>
    </row>
    <row r="13" spans="1:8" x14ac:dyDescent="0.2">
      <c r="A13" s="1" t="s">
        <v>2646</v>
      </c>
    </row>
    <row r="14" spans="1:8" x14ac:dyDescent="0.2">
      <c r="A14" s="1" t="s">
        <v>2649</v>
      </c>
    </row>
    <row r="15" spans="1:8" x14ac:dyDescent="0.2">
      <c r="A15" s="1" t="s">
        <v>2650</v>
      </c>
    </row>
    <row r="17" spans="1:8" x14ac:dyDescent="0.2">
      <c r="A17" s="1" t="s">
        <v>3200</v>
      </c>
    </row>
    <row r="18" spans="1:8" x14ac:dyDescent="0.2">
      <c r="A18" s="1" t="s">
        <v>2648</v>
      </c>
    </row>
    <row r="19" spans="1:8" x14ac:dyDescent="0.2">
      <c r="A19" s="1" t="s">
        <v>2651</v>
      </c>
    </row>
    <row r="20" spans="1:8" x14ac:dyDescent="0.2">
      <c r="A20" s="1" t="s">
        <v>2652</v>
      </c>
    </row>
    <row r="22" spans="1:8" x14ac:dyDescent="0.2">
      <c r="A22" s="1" t="s">
        <v>204</v>
      </c>
    </row>
    <row r="23" spans="1:8" x14ac:dyDescent="0.2">
      <c r="A23" s="1" t="s">
        <v>2653</v>
      </c>
    </row>
    <row r="24" spans="1:8" x14ac:dyDescent="0.2">
      <c r="A24" s="1" t="s">
        <v>2654</v>
      </c>
    </row>
    <row r="25" spans="1:8" ht="17" thickBot="1" x14ac:dyDescent="0.25"/>
    <row r="26" spans="1:8" ht="17" thickBot="1" x14ac:dyDescent="0.25">
      <c r="A26" s="283" t="s">
        <v>2655</v>
      </c>
      <c r="B26" s="94"/>
      <c r="C26" s="94"/>
      <c r="D26" s="94"/>
      <c r="E26" s="94"/>
      <c r="F26" s="94"/>
      <c r="G26" s="94"/>
      <c r="H26" s="95"/>
    </row>
    <row r="28" spans="1:8" x14ac:dyDescent="0.2">
      <c r="A28" s="426" t="s">
        <v>2656</v>
      </c>
      <c r="B28" s="79"/>
      <c r="C28" s="79"/>
      <c r="D28" s="79"/>
      <c r="E28" s="79"/>
      <c r="F28" s="79"/>
      <c r="G28" s="79"/>
      <c r="H28" s="79"/>
    </row>
    <row r="29" spans="1:8" x14ac:dyDescent="0.2">
      <c r="A29" s="2"/>
    </row>
    <row r="30" spans="1:8" x14ac:dyDescent="0.2">
      <c r="A30" s="2" t="s">
        <v>3207</v>
      </c>
      <c r="C30" s="6"/>
      <c r="D30" s="6"/>
      <c r="E30" s="6"/>
      <c r="F30" s="6"/>
      <c r="G30" s="6" t="s">
        <v>3202</v>
      </c>
      <c r="H30" s="6" t="s">
        <v>3204</v>
      </c>
    </row>
    <row r="31" spans="1:8" x14ac:dyDescent="0.2">
      <c r="A31" s="2"/>
      <c r="C31" s="6"/>
      <c r="D31" s="6"/>
      <c r="E31" s="6"/>
      <c r="F31" s="6"/>
      <c r="G31" s="6" t="s">
        <v>3203</v>
      </c>
      <c r="H31" s="6" t="s">
        <v>3205</v>
      </c>
    </row>
    <row r="32" spans="1:8" x14ac:dyDescent="0.2">
      <c r="A32" s="2"/>
      <c r="C32" s="86">
        <v>43465</v>
      </c>
      <c r="D32" s="86">
        <v>43830</v>
      </c>
      <c r="E32" s="86">
        <v>44196</v>
      </c>
      <c r="F32" s="86">
        <v>44561</v>
      </c>
      <c r="G32" s="86">
        <v>44652</v>
      </c>
      <c r="H32" s="86">
        <v>44926</v>
      </c>
    </row>
    <row r="33" spans="1:10" x14ac:dyDescent="0.2">
      <c r="A33" s="1" t="s">
        <v>695</v>
      </c>
      <c r="C33" s="41">
        <f>50000+20000+10000</f>
        <v>80000</v>
      </c>
      <c r="D33" s="41">
        <f>C33</f>
        <v>80000</v>
      </c>
      <c r="E33" s="41">
        <f>D33</f>
        <v>80000</v>
      </c>
      <c r="F33" s="41">
        <f>E33</f>
        <v>80000</v>
      </c>
      <c r="G33" s="41">
        <f>F33</f>
        <v>80000</v>
      </c>
      <c r="H33" s="41">
        <v>0</v>
      </c>
    </row>
    <row r="34" spans="1:10" x14ac:dyDescent="0.2">
      <c r="A34" s="1" t="s">
        <v>3201</v>
      </c>
      <c r="C34" s="44">
        <f>-C37</f>
        <v>-13333.333333333334</v>
      </c>
      <c r="D34" s="44">
        <f>C34-D37</f>
        <v>-29333.333333333336</v>
      </c>
      <c r="E34" s="44">
        <f>D34-E37</f>
        <v>-45333.333333333336</v>
      </c>
      <c r="F34" s="44">
        <f t="shared" ref="F34:G34" si="0">E34-F37</f>
        <v>-61333.333333333336</v>
      </c>
      <c r="G34" s="44">
        <f t="shared" si="0"/>
        <v>-65333.333333333336</v>
      </c>
      <c r="H34" s="41">
        <v>0</v>
      </c>
    </row>
    <row r="35" spans="1:10" x14ac:dyDescent="0.2">
      <c r="A35" s="1" t="s">
        <v>2040</v>
      </c>
      <c r="C35" s="55">
        <f>C33+C34</f>
        <v>66666.666666666672</v>
      </c>
      <c r="D35" s="55">
        <f>D33+D34</f>
        <v>50666.666666666664</v>
      </c>
      <c r="E35" s="55">
        <f>E33+E34</f>
        <v>34666.666666666664</v>
      </c>
      <c r="F35" s="55">
        <f>F33+F34</f>
        <v>18666.666666666664</v>
      </c>
      <c r="G35" s="55">
        <f>G33+G34</f>
        <v>14666.666666666664</v>
      </c>
      <c r="H35" s="55">
        <v>0</v>
      </c>
    </row>
    <row r="36" spans="1:10" x14ac:dyDescent="0.2">
      <c r="A36" s="2"/>
      <c r="C36" s="41"/>
      <c r="D36" s="41"/>
      <c r="E36" s="41"/>
      <c r="F36" s="41"/>
      <c r="G36" s="41"/>
      <c r="H36" s="41"/>
    </row>
    <row r="37" spans="1:10" x14ac:dyDescent="0.2">
      <c r="A37" s="1" t="s">
        <v>712</v>
      </c>
      <c r="C37" s="41">
        <f>(80000-0)/5*(10/12)</f>
        <v>13333.333333333334</v>
      </c>
      <c r="D37" s="41">
        <f>(80000-0)/5</f>
        <v>16000</v>
      </c>
      <c r="E37" s="41">
        <f>D37</f>
        <v>16000</v>
      </c>
      <c r="F37" s="41">
        <f>E37</f>
        <v>16000</v>
      </c>
      <c r="G37" s="41">
        <f>F37*3/12</f>
        <v>4000</v>
      </c>
      <c r="H37" s="41">
        <f>G37</f>
        <v>4000</v>
      </c>
    </row>
    <row r="38" spans="1:10" x14ac:dyDescent="0.2">
      <c r="A38" s="2"/>
      <c r="C38" s="41"/>
      <c r="D38" s="41"/>
      <c r="E38" s="41"/>
      <c r="F38" s="41"/>
      <c r="G38" s="41"/>
      <c r="H38" s="41"/>
    </row>
    <row r="39" spans="1:10" x14ac:dyDescent="0.2">
      <c r="A39" s="1" t="s">
        <v>760</v>
      </c>
      <c r="C39" s="41"/>
      <c r="D39" s="41"/>
      <c r="E39" s="41"/>
      <c r="F39" s="41"/>
      <c r="G39" s="41"/>
      <c r="H39" s="41">
        <f>24000-G35</f>
        <v>9333.3333333333358</v>
      </c>
      <c r="J39" s="1" t="s">
        <v>3206</v>
      </c>
    </row>
    <row r="40" spans="1:10" x14ac:dyDescent="0.2">
      <c r="A40" s="2"/>
    </row>
    <row r="41" spans="1:10" x14ac:dyDescent="0.2">
      <c r="A41" s="2" t="s">
        <v>3208</v>
      </c>
    </row>
    <row r="42" spans="1:10" x14ac:dyDescent="0.2">
      <c r="A42" s="2"/>
    </row>
    <row r="43" spans="1:10" x14ac:dyDescent="0.2">
      <c r="A43" s="1" t="s">
        <v>2657</v>
      </c>
    </row>
    <row r="44" spans="1:10" x14ac:dyDescent="0.2">
      <c r="A44" s="1" t="s">
        <v>1016</v>
      </c>
    </row>
    <row r="45" spans="1:10" x14ac:dyDescent="0.2">
      <c r="C45" s="1" t="s">
        <v>695</v>
      </c>
      <c r="D45" s="24">
        <v>50000</v>
      </c>
    </row>
    <row r="46" spans="1:10" x14ac:dyDescent="0.2">
      <c r="C46" s="1" t="s">
        <v>722</v>
      </c>
      <c r="D46" s="24">
        <v>20000</v>
      </c>
    </row>
    <row r="47" spans="1:10" x14ac:dyDescent="0.2">
      <c r="C47" s="1" t="s">
        <v>723</v>
      </c>
      <c r="D47" s="24">
        <v>10000</v>
      </c>
    </row>
    <row r="48" spans="1:10" x14ac:dyDescent="0.2">
      <c r="C48" s="1" t="s">
        <v>2662</v>
      </c>
      <c r="D48" s="89">
        <f>SUM(D45:D47)</f>
        <v>80000</v>
      </c>
    </row>
    <row r="50" spans="1:8" x14ac:dyDescent="0.2">
      <c r="A50" s="6" t="s">
        <v>84</v>
      </c>
      <c r="B50" s="1" t="s">
        <v>2658</v>
      </c>
    </row>
    <row r="51" spans="1:8" x14ac:dyDescent="0.2">
      <c r="B51" s="1" t="s">
        <v>2659</v>
      </c>
    </row>
    <row r="52" spans="1:8" x14ac:dyDescent="0.2">
      <c r="A52" s="6" t="s">
        <v>86</v>
      </c>
      <c r="B52" s="1" t="s">
        <v>2660</v>
      </c>
    </row>
    <row r="53" spans="1:8" x14ac:dyDescent="0.2">
      <c r="B53" s="1" t="s">
        <v>2661</v>
      </c>
    </row>
    <row r="55" spans="1:8" x14ac:dyDescent="0.2">
      <c r="A55" s="1" t="s">
        <v>2663</v>
      </c>
    </row>
    <row r="56" spans="1:8" x14ac:dyDescent="0.2">
      <c r="E56" s="24">
        <f>80000/5*10/12</f>
        <v>13333.333333333334</v>
      </c>
      <c r="H56" s="1" t="s">
        <v>2664</v>
      </c>
    </row>
    <row r="57" spans="1:8" x14ac:dyDescent="0.2">
      <c r="E57" s="24">
        <f>80000/5</f>
        <v>16000</v>
      </c>
      <c r="H57" s="1" t="s">
        <v>2665</v>
      </c>
    </row>
    <row r="58" spans="1:8" x14ac:dyDescent="0.2">
      <c r="E58" s="24">
        <f>80000/5</f>
        <v>16000</v>
      </c>
      <c r="H58" s="1" t="s">
        <v>2666</v>
      </c>
    </row>
    <row r="59" spans="1:8" x14ac:dyDescent="0.2">
      <c r="E59" s="24">
        <f>80000/5</f>
        <v>16000</v>
      </c>
      <c r="H59" s="1" t="s">
        <v>2667</v>
      </c>
    </row>
    <row r="60" spans="1:8" x14ac:dyDescent="0.2">
      <c r="A60" s="1" t="s">
        <v>3210</v>
      </c>
      <c r="E60" s="24">
        <f>80000/5*(3/12)</f>
        <v>4000</v>
      </c>
      <c r="H60" s="1" t="s">
        <v>3209</v>
      </c>
    </row>
    <row r="61" spans="1:8" x14ac:dyDescent="0.2">
      <c r="E61" s="24"/>
    </row>
    <row r="62" spans="1:8" x14ac:dyDescent="0.2">
      <c r="A62" s="1" t="s">
        <v>2668</v>
      </c>
      <c r="E62" s="24"/>
    </row>
    <row r="63" spans="1:8" x14ac:dyDescent="0.2">
      <c r="E63" s="24"/>
      <c r="F63" s="1" t="s">
        <v>2669</v>
      </c>
      <c r="G63" s="1" t="s">
        <v>2670</v>
      </c>
    </row>
    <row r="64" spans="1:8" x14ac:dyDescent="0.2">
      <c r="B64" s="449">
        <v>43465</v>
      </c>
      <c r="C64" s="449">
        <v>43830</v>
      </c>
      <c r="D64" s="449">
        <v>44196</v>
      </c>
      <c r="E64" s="449">
        <v>44561</v>
      </c>
      <c r="F64" s="449">
        <v>44652</v>
      </c>
      <c r="G64" s="449">
        <v>44926</v>
      </c>
    </row>
    <row r="65" spans="1:9" x14ac:dyDescent="0.2">
      <c r="A65" s="1" t="s">
        <v>695</v>
      </c>
      <c r="B65" s="24">
        <v>80000</v>
      </c>
      <c r="C65" s="24">
        <f>B65</f>
        <v>80000</v>
      </c>
      <c r="D65" s="24">
        <f t="shared" ref="D65:F65" si="1">C65</f>
        <v>80000</v>
      </c>
      <c r="E65" s="24">
        <f t="shared" si="1"/>
        <v>80000</v>
      </c>
      <c r="F65" s="24">
        <f t="shared" si="1"/>
        <v>80000</v>
      </c>
      <c r="G65" s="23">
        <v>0</v>
      </c>
    </row>
    <row r="66" spans="1:9" x14ac:dyDescent="0.2">
      <c r="A66" s="1" t="s">
        <v>667</v>
      </c>
      <c r="B66" s="23">
        <f>-E56</f>
        <v>-13333.333333333334</v>
      </c>
      <c r="C66" s="23">
        <f>B66-E57</f>
        <v>-29333.333333333336</v>
      </c>
      <c r="D66" s="23">
        <f>C66-E58</f>
        <v>-45333.333333333336</v>
      </c>
      <c r="E66" s="23">
        <f>D66-E59</f>
        <v>-61333.333333333336</v>
      </c>
      <c r="F66" s="23">
        <f>E66-E60</f>
        <v>-65333.333333333336</v>
      </c>
      <c r="G66" s="23">
        <v>0</v>
      </c>
    </row>
    <row r="67" spans="1:9" x14ac:dyDescent="0.2">
      <c r="A67" s="1" t="s">
        <v>2040</v>
      </c>
      <c r="B67" s="253">
        <f>B65+B66</f>
        <v>66666.666666666672</v>
      </c>
      <c r="C67" s="253">
        <f t="shared" ref="C67:F67" si="2">C65+C66</f>
        <v>50666.666666666664</v>
      </c>
      <c r="D67" s="253">
        <f t="shared" si="2"/>
        <v>34666.666666666664</v>
      </c>
      <c r="E67" s="253">
        <f t="shared" si="2"/>
        <v>18666.666666666664</v>
      </c>
      <c r="F67" s="253">
        <f t="shared" si="2"/>
        <v>14666.666666666664</v>
      </c>
      <c r="G67" s="253">
        <v>0</v>
      </c>
    </row>
    <row r="69" spans="1:9" x14ac:dyDescent="0.2">
      <c r="A69" s="1" t="s">
        <v>2671</v>
      </c>
      <c r="B69" s="24">
        <f>E56</f>
        <v>13333.333333333334</v>
      </c>
      <c r="C69" s="24">
        <f>E57</f>
        <v>16000</v>
      </c>
      <c r="D69" s="24">
        <f>E58</f>
        <v>16000</v>
      </c>
      <c r="E69" s="24">
        <f>E59</f>
        <v>16000</v>
      </c>
      <c r="F69" s="24">
        <f>E60</f>
        <v>4000</v>
      </c>
      <c r="G69" s="24">
        <f>F69</f>
        <v>4000</v>
      </c>
    </row>
    <row r="70" spans="1:9" x14ac:dyDescent="0.2">
      <c r="B70" s="24"/>
      <c r="C70" s="24"/>
      <c r="D70" s="24"/>
      <c r="E70" s="24"/>
      <c r="F70" s="24"/>
      <c r="G70" s="24"/>
    </row>
    <row r="71" spans="1:9" x14ac:dyDescent="0.2">
      <c r="A71" s="1" t="s">
        <v>760</v>
      </c>
      <c r="B71" s="24"/>
      <c r="C71" s="24"/>
      <c r="D71" s="24"/>
      <c r="E71" s="24"/>
      <c r="F71" s="24"/>
      <c r="G71" s="24">
        <f>24000-F67</f>
        <v>9333.3333333333358</v>
      </c>
      <c r="I71" s="1" t="s">
        <v>2672</v>
      </c>
    </row>
    <row r="73" spans="1:9" x14ac:dyDescent="0.2">
      <c r="A73" s="426" t="s">
        <v>2673</v>
      </c>
      <c r="B73" s="79"/>
      <c r="C73" s="79"/>
      <c r="D73" s="79"/>
      <c r="E73" s="79"/>
      <c r="F73" s="79"/>
      <c r="G73" s="79"/>
      <c r="H73" s="79"/>
    </row>
    <row r="74" spans="1:9" x14ac:dyDescent="0.2">
      <c r="A74" s="1" t="s">
        <v>2647</v>
      </c>
    </row>
    <row r="75" spans="1:9" x14ac:dyDescent="0.2">
      <c r="A75" s="1" t="s">
        <v>2648</v>
      </c>
    </row>
    <row r="76" spans="1:9" x14ac:dyDescent="0.2">
      <c r="A76" s="1" t="s">
        <v>2674</v>
      </c>
    </row>
    <row r="77" spans="1:9" x14ac:dyDescent="0.2">
      <c r="A77" s="1" t="s">
        <v>2652</v>
      </c>
      <c r="G77"/>
    </row>
    <row r="79" spans="1:9" x14ac:dyDescent="0.2">
      <c r="A79" s="2" t="s">
        <v>3207</v>
      </c>
      <c r="C79" s="6"/>
      <c r="D79" s="6"/>
      <c r="E79" s="6"/>
      <c r="F79" s="6"/>
      <c r="G79" s="6" t="s">
        <v>3202</v>
      </c>
      <c r="H79" s="6" t="s">
        <v>3204</v>
      </c>
    </row>
    <row r="80" spans="1:9" x14ac:dyDescent="0.2">
      <c r="A80" s="2"/>
      <c r="C80" s="6"/>
      <c r="D80" s="6"/>
      <c r="E80" s="6"/>
      <c r="F80" s="6"/>
      <c r="G80" s="6" t="s">
        <v>3203</v>
      </c>
      <c r="H80" s="6" t="s">
        <v>3205</v>
      </c>
    </row>
    <row r="81" spans="1:11" x14ac:dyDescent="0.2">
      <c r="A81" s="2"/>
      <c r="C81" s="86">
        <v>43465</v>
      </c>
      <c r="D81" s="86">
        <v>43830</v>
      </c>
      <c r="E81" s="86">
        <v>44196</v>
      </c>
      <c r="F81" s="86">
        <v>44561</v>
      </c>
      <c r="G81" s="86">
        <v>44774</v>
      </c>
      <c r="H81" s="86">
        <v>44926</v>
      </c>
    </row>
    <row r="82" spans="1:11" x14ac:dyDescent="0.2">
      <c r="A82" s="1" t="s">
        <v>695</v>
      </c>
      <c r="C82" s="41">
        <v>500000</v>
      </c>
      <c r="D82" s="41">
        <v>500000</v>
      </c>
      <c r="E82" s="41">
        <v>500000</v>
      </c>
      <c r="F82" s="41">
        <v>500000</v>
      </c>
      <c r="G82" s="41">
        <v>500000</v>
      </c>
      <c r="H82" s="41">
        <v>0</v>
      </c>
    </row>
    <row r="83" spans="1:11" x14ac:dyDescent="0.2">
      <c r="A83" s="1" t="s">
        <v>3201</v>
      </c>
      <c r="C83" s="44">
        <f>-C86</f>
        <v>-12698.412698412698</v>
      </c>
      <c r="D83" s="44">
        <f>C83-D86</f>
        <v>-50158.730158730155</v>
      </c>
      <c r="E83" s="44">
        <f>D83-E86</f>
        <v>-85714.28571428571</v>
      </c>
      <c r="F83" s="44">
        <f>E83-F86</f>
        <v>-119365.07936507935</v>
      </c>
      <c r="G83" s="44">
        <f>F83-G86</f>
        <v>-138253.96825396823</v>
      </c>
      <c r="H83" s="41">
        <v>0</v>
      </c>
    </row>
    <row r="84" spans="1:11" x14ac:dyDescent="0.2">
      <c r="A84" s="1" t="s">
        <v>2040</v>
      </c>
      <c r="C84" s="55">
        <f>SUM(C82:C83)</f>
        <v>487301.58730158728</v>
      </c>
      <c r="D84" s="55">
        <f t="shared" ref="D84:G84" si="3">SUM(D82:D83)</f>
        <v>449841.26984126982</v>
      </c>
      <c r="E84" s="55">
        <f t="shared" si="3"/>
        <v>414285.71428571432</v>
      </c>
      <c r="F84" s="55">
        <f t="shared" si="3"/>
        <v>380634.92063492065</v>
      </c>
      <c r="G84" s="55">
        <f t="shared" si="3"/>
        <v>361746.03174603177</v>
      </c>
      <c r="H84" s="55">
        <v>0</v>
      </c>
    </row>
    <row r="85" spans="1:11" x14ac:dyDescent="0.2">
      <c r="A85" s="2"/>
      <c r="C85" s="41"/>
      <c r="D85" s="41"/>
      <c r="E85" s="41"/>
      <c r="F85" s="41"/>
      <c r="G85" s="41"/>
      <c r="H85" s="41"/>
    </row>
    <row r="86" spans="1:11" x14ac:dyDescent="0.2">
      <c r="A86" s="1" t="s">
        <v>712</v>
      </c>
      <c r="C86" s="41">
        <f>(500000-100000)*20*(4/12)/210</f>
        <v>12698.412698412698</v>
      </c>
      <c r="D86" s="41">
        <f>(500000-100000)*(20*(8/12)+19*(4/12))/210</f>
        <v>37460.317460317456</v>
      </c>
      <c r="E86" s="41">
        <f>(500000-100000)*(19*(8/12)+18*(4/12))/210</f>
        <v>35555.555555555555</v>
      </c>
      <c r="F86" s="41">
        <f>(500000-100000)*(18*(8/12)+17*(4/12))/210</f>
        <v>33650.793650793647</v>
      </c>
      <c r="G86" s="41">
        <f>(500000-100000)*(17*(7/12))/210</f>
        <v>18888.888888888891</v>
      </c>
      <c r="H86" s="41">
        <f>G86</f>
        <v>18888.888888888891</v>
      </c>
      <c r="I86" s="1" t="s">
        <v>3211</v>
      </c>
      <c r="K86" s="1" t="s">
        <v>3213</v>
      </c>
    </row>
    <row r="87" spans="1:11" ht="17" thickBot="1" x14ac:dyDescent="0.25">
      <c r="A87" s="2"/>
      <c r="C87" s="41"/>
      <c r="D87" s="41"/>
      <c r="E87" s="41"/>
      <c r="F87" s="41"/>
      <c r="G87" s="41"/>
      <c r="H87" s="41"/>
      <c r="J87" s="1">
        <f>20*21/2</f>
        <v>210</v>
      </c>
      <c r="K87" s="1" t="s">
        <v>3212</v>
      </c>
    </row>
    <row r="88" spans="1:11" x14ac:dyDescent="0.2">
      <c r="A88" s="1" t="s">
        <v>760</v>
      </c>
      <c r="C88" s="541"/>
      <c r="D88" s="541"/>
      <c r="E88" s="541"/>
      <c r="F88" s="541"/>
      <c r="G88" s="541"/>
      <c r="H88" s="542">
        <v>14000</v>
      </c>
    </row>
    <row r="89" spans="1:11" ht="17" thickBot="1" x14ac:dyDescent="0.25">
      <c r="H89" s="517" t="s">
        <v>2024</v>
      </c>
    </row>
    <row r="100" spans="1:9" x14ac:dyDescent="0.2">
      <c r="A100" s="144" t="s">
        <v>2675</v>
      </c>
    </row>
    <row r="101" spans="1:9" x14ac:dyDescent="0.2">
      <c r="A101" s="1">
        <f>20*21/2</f>
        <v>210</v>
      </c>
      <c r="D101" s="1" t="s">
        <v>2676</v>
      </c>
    </row>
    <row r="103" spans="1:9" x14ac:dyDescent="0.2">
      <c r="A103" s="144" t="s">
        <v>2677</v>
      </c>
    </row>
    <row r="104" spans="1:9" x14ac:dyDescent="0.2">
      <c r="A104" s="144"/>
    </row>
    <row r="105" spans="1:9" x14ac:dyDescent="0.2">
      <c r="A105" s="144"/>
    </row>
    <row r="106" spans="1:9" x14ac:dyDescent="0.2">
      <c r="A106" s="144"/>
    </row>
    <row r="110" spans="1:9" x14ac:dyDescent="0.2">
      <c r="A110" s="144" t="s">
        <v>2678</v>
      </c>
    </row>
    <row r="111" spans="1:9" x14ac:dyDescent="0.2">
      <c r="A111" s="1" t="s">
        <v>2679</v>
      </c>
    </row>
    <row r="112" spans="1:9" x14ac:dyDescent="0.2">
      <c r="A112" s="1" t="s">
        <v>2680</v>
      </c>
      <c r="I112" s="1" t="s">
        <v>2681</v>
      </c>
    </row>
    <row r="114" spans="1:9" x14ac:dyDescent="0.2">
      <c r="D114" s="24">
        <f>400000*(20*4/12)/210</f>
        <v>12698.4126984127</v>
      </c>
      <c r="I114" s="1" t="s">
        <v>2682</v>
      </c>
    </row>
    <row r="117" spans="1:9" x14ac:dyDescent="0.2">
      <c r="F117" s="6" t="s">
        <v>2686</v>
      </c>
      <c r="G117" s="1" t="s">
        <v>2684</v>
      </c>
      <c r="H117" s="1" t="s">
        <v>2683</v>
      </c>
      <c r="I117" s="1" t="s">
        <v>695</v>
      </c>
    </row>
    <row r="118" spans="1:9" x14ac:dyDescent="0.2">
      <c r="F118" s="6" t="s">
        <v>923</v>
      </c>
      <c r="G118" s="1" t="s">
        <v>2685</v>
      </c>
    </row>
    <row r="120" spans="1:9" x14ac:dyDescent="0.2">
      <c r="D120" s="24">
        <f>400000*((20*8/12)+(19*4/12))/210</f>
        <v>37460.317460317463</v>
      </c>
      <c r="I120" s="1" t="s">
        <v>2687</v>
      </c>
    </row>
    <row r="122" spans="1:9" x14ac:dyDescent="0.2">
      <c r="D122" s="24">
        <f>400000*((19*8/12)+(18*4/12))/210</f>
        <v>35555.555555555555</v>
      </c>
      <c r="I122" s="1" t="s">
        <v>2688</v>
      </c>
    </row>
    <row r="123" spans="1:9" x14ac:dyDescent="0.2">
      <c r="D123" s="24"/>
    </row>
    <row r="124" spans="1:9" x14ac:dyDescent="0.2">
      <c r="D124" s="24">
        <f>400000*((18*8/12)+(17*4/12))/210</f>
        <v>33650.793650793654</v>
      </c>
      <c r="I124" s="1" t="s">
        <v>2689</v>
      </c>
    </row>
    <row r="125" spans="1:9" x14ac:dyDescent="0.2">
      <c r="D125" s="24"/>
    </row>
    <row r="126" spans="1:9" x14ac:dyDescent="0.2">
      <c r="A126" s="1" t="s">
        <v>2691</v>
      </c>
      <c r="D126" s="24"/>
    </row>
    <row r="127" spans="1:9" x14ac:dyDescent="0.2">
      <c r="D127" s="24"/>
    </row>
    <row r="128" spans="1:9" x14ac:dyDescent="0.2">
      <c r="D128" s="24">
        <f>400000*(17*7/12)/210</f>
        <v>18888.888888888887</v>
      </c>
      <c r="I128" s="1" t="s">
        <v>2690</v>
      </c>
    </row>
    <row r="129" spans="1:7" x14ac:dyDescent="0.2">
      <c r="D129" s="24"/>
    </row>
    <row r="130" spans="1:7" x14ac:dyDescent="0.2">
      <c r="A130" s="1" t="s">
        <v>2692</v>
      </c>
      <c r="D130" s="24"/>
    </row>
    <row r="131" spans="1:7" x14ac:dyDescent="0.2">
      <c r="D131" s="24"/>
    </row>
    <row r="132" spans="1:7" x14ac:dyDescent="0.2">
      <c r="E132" s="24"/>
      <c r="F132" s="1" t="s">
        <v>2669</v>
      </c>
      <c r="G132" s="1" t="s">
        <v>2670</v>
      </c>
    </row>
    <row r="133" spans="1:7" x14ac:dyDescent="0.2">
      <c r="B133" s="449">
        <v>43465</v>
      </c>
      <c r="C133" s="449">
        <v>43830</v>
      </c>
      <c r="D133" s="449">
        <v>44196</v>
      </c>
      <c r="E133" s="449">
        <v>44561</v>
      </c>
      <c r="F133" s="449">
        <v>44774</v>
      </c>
      <c r="G133" s="449">
        <v>44926</v>
      </c>
    </row>
    <row r="134" spans="1:7" x14ac:dyDescent="0.2">
      <c r="A134" s="1" t="s">
        <v>695</v>
      </c>
      <c r="B134" s="24">
        <v>500000</v>
      </c>
      <c r="C134" s="24">
        <f>B134</f>
        <v>500000</v>
      </c>
      <c r="D134" s="24">
        <f t="shared" ref="D134:F134" si="4">C134</f>
        <v>500000</v>
      </c>
      <c r="E134" s="24">
        <f t="shared" si="4"/>
        <v>500000</v>
      </c>
      <c r="F134" s="24">
        <f t="shared" si="4"/>
        <v>500000</v>
      </c>
      <c r="G134" s="23">
        <v>0</v>
      </c>
    </row>
    <row r="135" spans="1:7" x14ac:dyDescent="0.2">
      <c r="A135" s="1" t="s">
        <v>667</v>
      </c>
      <c r="B135" s="23">
        <f>-D114</f>
        <v>-12698.4126984127</v>
      </c>
      <c r="C135" s="23">
        <f>B135-D120</f>
        <v>-50158.730158730163</v>
      </c>
      <c r="D135" s="23">
        <f>C135-D122</f>
        <v>-85714.28571428571</v>
      </c>
      <c r="E135" s="23">
        <f>D135-D124</f>
        <v>-119365.07936507936</v>
      </c>
      <c r="F135" s="23">
        <f>E135-D128</f>
        <v>-138253.96825396825</v>
      </c>
      <c r="G135" s="23">
        <v>0</v>
      </c>
    </row>
    <row r="136" spans="1:7" x14ac:dyDescent="0.2">
      <c r="A136" s="1" t="s">
        <v>2040</v>
      </c>
      <c r="B136" s="253">
        <f>B134+B135</f>
        <v>487301.58730158728</v>
      </c>
      <c r="C136" s="253">
        <f t="shared" ref="C136" si="5">C134+C135</f>
        <v>449841.26984126982</v>
      </c>
      <c r="D136" s="253">
        <f t="shared" ref="D136" si="6">D134+D135</f>
        <v>414285.71428571432</v>
      </c>
      <c r="E136" s="253">
        <f t="shared" ref="E136" si="7">E134+E135</f>
        <v>380634.92063492065</v>
      </c>
      <c r="F136" s="253">
        <f t="shared" ref="F136" si="8">F134+F135</f>
        <v>361746.03174603172</v>
      </c>
      <c r="G136" s="253">
        <v>0</v>
      </c>
    </row>
    <row r="138" spans="1:7" x14ac:dyDescent="0.2">
      <c r="A138" s="1" t="s">
        <v>2671</v>
      </c>
      <c r="B138" s="24">
        <f>D114</f>
        <v>12698.4126984127</v>
      </c>
      <c r="C138" s="24">
        <f>D120</f>
        <v>37460.317460317463</v>
      </c>
      <c r="D138" s="24">
        <f>D122</f>
        <v>35555.555555555555</v>
      </c>
      <c r="E138" s="24">
        <f>D124</f>
        <v>33650.793650793654</v>
      </c>
      <c r="F138" s="24">
        <f>D128</f>
        <v>18888.888888888887</v>
      </c>
      <c r="G138" s="24">
        <f>F138</f>
        <v>18888.888888888887</v>
      </c>
    </row>
    <row r="139" spans="1:7" x14ac:dyDescent="0.2">
      <c r="B139" s="24"/>
      <c r="C139" s="24"/>
      <c r="D139" s="24"/>
      <c r="E139" s="24"/>
      <c r="F139" s="24"/>
      <c r="G139" s="24"/>
    </row>
    <row r="140" spans="1:7" x14ac:dyDescent="0.2">
      <c r="A140" s="1" t="s">
        <v>760</v>
      </c>
      <c r="B140" s="24"/>
      <c r="C140" s="24"/>
      <c r="D140" s="24"/>
      <c r="E140" s="24"/>
      <c r="F140" s="24"/>
      <c r="G140" s="24">
        <v>14000</v>
      </c>
    </row>
    <row r="141" spans="1:7" x14ac:dyDescent="0.2">
      <c r="D141" s="24"/>
    </row>
    <row r="142" spans="1:7" x14ac:dyDescent="0.2">
      <c r="A142" s="1" t="s">
        <v>2693</v>
      </c>
      <c r="D142" s="24"/>
    </row>
    <row r="143" spans="1:7" x14ac:dyDescent="0.2">
      <c r="A143" s="1" t="s">
        <v>2694</v>
      </c>
      <c r="D143" s="24"/>
    </row>
    <row r="144" spans="1:7" x14ac:dyDescent="0.2">
      <c r="D144" s="24"/>
    </row>
    <row r="145" spans="1:8" x14ac:dyDescent="0.2">
      <c r="B145" s="1" t="s">
        <v>960</v>
      </c>
      <c r="D145" s="6" t="s">
        <v>2696</v>
      </c>
    </row>
    <row r="146" spans="1:8" x14ac:dyDescent="0.2">
      <c r="B146" s="1" t="s">
        <v>1424</v>
      </c>
      <c r="D146" s="44">
        <f>-F136</f>
        <v>-361746.03174603172</v>
      </c>
    </row>
    <row r="147" spans="1:8" x14ac:dyDescent="0.2">
      <c r="B147" s="1" t="s">
        <v>2695</v>
      </c>
      <c r="D147" s="134">
        <v>14000</v>
      </c>
      <c r="E147" s="1" t="s">
        <v>2697</v>
      </c>
    </row>
    <row r="148" spans="1:8" x14ac:dyDescent="0.2">
      <c r="D148" s="24"/>
    </row>
    <row r="149" spans="1:8" x14ac:dyDescent="0.2">
      <c r="A149" s="1" t="s">
        <v>2698</v>
      </c>
      <c r="D149" s="24"/>
      <c r="F149" s="44">
        <f>D147-D146</f>
        <v>375746.03174603172</v>
      </c>
      <c r="G149" s="6" t="s">
        <v>1075</v>
      </c>
    </row>
    <row r="150" spans="1:8" x14ac:dyDescent="0.2">
      <c r="D150" s="24"/>
    </row>
    <row r="151" spans="1:8" x14ac:dyDescent="0.2">
      <c r="A151" s="79" t="s">
        <v>2653</v>
      </c>
      <c r="B151" s="79"/>
      <c r="C151" s="79"/>
      <c r="D151" s="462"/>
      <c r="E151" s="79"/>
      <c r="F151" s="79"/>
      <c r="G151" s="79"/>
      <c r="H151" s="79"/>
    </row>
    <row r="152" spans="1:8" x14ac:dyDescent="0.2">
      <c r="D152" s="24"/>
    </row>
    <row r="153" spans="1:8" x14ac:dyDescent="0.2">
      <c r="A153" s="1" t="s">
        <v>2706</v>
      </c>
      <c r="B153" s="449">
        <v>43465</v>
      </c>
      <c r="C153" s="449">
        <v>43830</v>
      </c>
      <c r="D153" s="449">
        <v>44196</v>
      </c>
      <c r="E153" s="449">
        <v>44561</v>
      </c>
      <c r="F153" s="449">
        <v>44926</v>
      </c>
      <c r="G153" s="24"/>
    </row>
    <row r="154" spans="1:8" x14ac:dyDescent="0.2">
      <c r="A154" s="1" t="s">
        <v>2699</v>
      </c>
      <c r="B154" s="24">
        <v>13333.333333333334</v>
      </c>
      <c r="C154" s="24">
        <v>16000</v>
      </c>
      <c r="D154" s="24">
        <v>16000</v>
      </c>
      <c r="E154" s="24">
        <v>16000</v>
      </c>
      <c r="F154" s="24">
        <v>9333.3333333333339</v>
      </c>
      <c r="G154" s="24"/>
    </row>
    <row r="155" spans="1:8" x14ac:dyDescent="0.2">
      <c r="A155" s="1" t="s">
        <v>2700</v>
      </c>
      <c r="B155" s="24">
        <v>12698.4126984127</v>
      </c>
      <c r="C155" s="24">
        <v>37460.317460317463</v>
      </c>
      <c r="D155" s="24">
        <v>35555.555555555555</v>
      </c>
      <c r="E155" s="24">
        <v>33650.793650793654</v>
      </c>
      <c r="F155" s="24">
        <v>18888.888888888887</v>
      </c>
      <c r="G155" s="24"/>
    </row>
    <row r="156" spans="1:8" x14ac:dyDescent="0.2">
      <c r="A156" s="1" t="s">
        <v>2701</v>
      </c>
      <c r="B156" s="89">
        <f>SUM(B154:B155)</f>
        <v>26031.746031746035</v>
      </c>
      <c r="C156" s="89">
        <f t="shared" ref="C156:F156" si="9">SUM(C154:C155)</f>
        <v>53460.317460317463</v>
      </c>
      <c r="D156" s="89">
        <f t="shared" si="9"/>
        <v>51555.555555555555</v>
      </c>
      <c r="E156" s="89">
        <f t="shared" si="9"/>
        <v>49650.793650793654</v>
      </c>
      <c r="F156" s="89">
        <f t="shared" si="9"/>
        <v>28222.222222222219</v>
      </c>
    </row>
    <row r="157" spans="1:8" x14ac:dyDescent="0.2">
      <c r="D157" s="24"/>
    </row>
    <row r="158" spans="1:8" x14ac:dyDescent="0.2">
      <c r="A158" s="79" t="s">
        <v>2707</v>
      </c>
      <c r="B158" s="79"/>
      <c r="C158" s="79"/>
      <c r="D158" s="462"/>
      <c r="E158" s="79"/>
      <c r="F158" s="79"/>
      <c r="G158" s="79"/>
      <c r="H158" s="79"/>
    </row>
    <row r="159" spans="1:8" x14ac:dyDescent="0.2">
      <c r="B159" s="25" t="s">
        <v>2702</v>
      </c>
      <c r="C159" s="25" t="s">
        <v>2705</v>
      </c>
      <c r="D159" s="25" t="s">
        <v>2704</v>
      </c>
      <c r="E159" s="25" t="s">
        <v>2703</v>
      </c>
      <c r="F159" s="463" t="s">
        <v>281</v>
      </c>
    </row>
    <row r="160" spans="1:8" x14ac:dyDescent="0.2">
      <c r="A160" s="6">
        <v>2018</v>
      </c>
      <c r="B160" s="24">
        <f>B65</f>
        <v>80000</v>
      </c>
      <c r="C160" s="24">
        <f>B134</f>
        <v>500000</v>
      </c>
      <c r="D160" s="23">
        <v>-13333.333333333334</v>
      </c>
      <c r="E160" s="23">
        <v>-12698.4126984127</v>
      </c>
      <c r="F160" s="24">
        <f>SUM(B160:E160)</f>
        <v>553968.25396825396</v>
      </c>
    </row>
    <row r="161" spans="1:8" x14ac:dyDescent="0.2">
      <c r="A161" s="6">
        <v>2019</v>
      </c>
      <c r="B161" s="24">
        <f>B160</f>
        <v>80000</v>
      </c>
      <c r="C161" s="24">
        <f>C160</f>
        <v>500000</v>
      </c>
      <c r="D161" s="23">
        <v>-29333.333333333336</v>
      </c>
      <c r="E161" s="23">
        <v>-50158.730158730163</v>
      </c>
      <c r="F161" s="24">
        <f t="shared" ref="F161:F163" si="10">SUM(B161:E161)</f>
        <v>500507.93650793645</v>
      </c>
    </row>
    <row r="162" spans="1:8" x14ac:dyDescent="0.2">
      <c r="A162" s="6">
        <v>2020</v>
      </c>
      <c r="B162" s="24">
        <f t="shared" ref="B162:B163" si="11">B161</f>
        <v>80000</v>
      </c>
      <c r="C162" s="24">
        <f t="shared" ref="C162:C163" si="12">C161</f>
        <v>500000</v>
      </c>
      <c r="D162" s="23">
        <v>-45333.333333333336</v>
      </c>
      <c r="E162" s="23">
        <v>-85714.28571428571</v>
      </c>
      <c r="F162" s="24">
        <f t="shared" si="10"/>
        <v>448952.38095238095</v>
      </c>
    </row>
    <row r="163" spans="1:8" x14ac:dyDescent="0.2">
      <c r="A163" s="6">
        <v>2021</v>
      </c>
      <c r="B163" s="24">
        <f t="shared" si="11"/>
        <v>80000</v>
      </c>
      <c r="C163" s="24">
        <f t="shared" si="12"/>
        <v>500000</v>
      </c>
      <c r="D163" s="23">
        <v>-61333.333333333336</v>
      </c>
      <c r="E163" s="23">
        <v>-119365.07936507936</v>
      </c>
      <c r="F163" s="24">
        <f t="shared" si="10"/>
        <v>399301.58730158734</v>
      </c>
    </row>
    <row r="164" spans="1:8" x14ac:dyDescent="0.2">
      <c r="A164" s="6">
        <v>2022</v>
      </c>
      <c r="B164" s="1">
        <v>0</v>
      </c>
      <c r="C164" s="1">
        <v>0</v>
      </c>
      <c r="D164" s="1">
        <v>0</v>
      </c>
      <c r="E164" s="1">
        <v>0</v>
      </c>
      <c r="F164" s="1">
        <v>0</v>
      </c>
    </row>
    <row r="166" spans="1:8" x14ac:dyDescent="0.2">
      <c r="A166" s="7" t="s">
        <v>2708</v>
      </c>
      <c r="B166" s="7"/>
      <c r="C166" s="7"/>
      <c r="D166" s="7"/>
      <c r="E166" s="7"/>
      <c r="F166" s="7"/>
      <c r="G166" s="7"/>
      <c r="H166" s="7"/>
    </row>
    <row r="168" spans="1:8" x14ac:dyDescent="0.2">
      <c r="A168" s="144" t="s">
        <v>2709</v>
      </c>
    </row>
    <row r="169" spans="1:8" x14ac:dyDescent="0.2">
      <c r="A169" s="1" t="s">
        <v>2710</v>
      </c>
      <c r="D169" s="6" t="s">
        <v>2711</v>
      </c>
    </row>
    <row r="170" spans="1:8" x14ac:dyDescent="0.2">
      <c r="A170" s="1" t="s">
        <v>2717</v>
      </c>
      <c r="D170" s="6" t="s">
        <v>2711</v>
      </c>
    </row>
    <row r="172" spans="1:8" x14ac:dyDescent="0.2">
      <c r="A172" s="144" t="s">
        <v>2712</v>
      </c>
    </row>
    <row r="173" spans="1:8" x14ac:dyDescent="0.2">
      <c r="A173" s="1" t="s">
        <v>2018</v>
      </c>
      <c r="D173" s="6" t="s">
        <v>2711</v>
      </c>
      <c r="E173" s="1" t="s">
        <v>2714</v>
      </c>
    </row>
    <row r="174" spans="1:8" x14ac:dyDescent="0.2">
      <c r="A174" s="1" t="s">
        <v>2713</v>
      </c>
      <c r="D174" s="6" t="s">
        <v>2711</v>
      </c>
      <c r="E174" s="1" t="s">
        <v>2715</v>
      </c>
    </row>
    <row r="176" spans="1:8" x14ac:dyDescent="0.2">
      <c r="A176" s="144" t="s">
        <v>2716</v>
      </c>
    </row>
    <row r="177" spans="1:8" x14ac:dyDescent="0.2">
      <c r="A177" s="1" t="s">
        <v>1720</v>
      </c>
      <c r="D177" s="6" t="s">
        <v>2711</v>
      </c>
    </row>
    <row r="178" spans="1:8" x14ac:dyDescent="0.2">
      <c r="A178" s="1" t="s">
        <v>2718</v>
      </c>
      <c r="D178" s="6" t="s">
        <v>2719</v>
      </c>
      <c r="E178" s="1" t="s">
        <v>2720</v>
      </c>
    </row>
    <row r="179" spans="1:8" x14ac:dyDescent="0.2">
      <c r="A179" s="1" t="s">
        <v>2721</v>
      </c>
      <c r="D179" s="6" t="s">
        <v>2722</v>
      </c>
      <c r="E179" s="1" t="s">
        <v>2723</v>
      </c>
    </row>
    <row r="180" spans="1:8" x14ac:dyDescent="0.2">
      <c r="A180" s="8" t="s">
        <v>2724</v>
      </c>
      <c r="D180" s="6" t="s">
        <v>2725</v>
      </c>
      <c r="E180" s="1" t="s">
        <v>2727</v>
      </c>
    </row>
    <row r="181" spans="1:8" x14ac:dyDescent="0.2">
      <c r="A181" s="8" t="s">
        <v>2191</v>
      </c>
      <c r="D181" s="6" t="s">
        <v>2726</v>
      </c>
      <c r="E181" s="1" t="s">
        <v>2728</v>
      </c>
    </row>
    <row r="183" spans="1:8" x14ac:dyDescent="0.2">
      <c r="A183" s="7" t="s">
        <v>2729</v>
      </c>
      <c r="B183" s="7"/>
      <c r="C183" s="7"/>
      <c r="D183" s="7"/>
      <c r="E183" s="7"/>
      <c r="F183" s="7"/>
      <c r="G183" s="7"/>
      <c r="H183" s="7"/>
    </row>
    <row r="184" spans="1:8" x14ac:dyDescent="0.2">
      <c r="A184" s="1" t="s">
        <v>2730</v>
      </c>
      <c r="F184"/>
    </row>
    <row r="185" spans="1:8" x14ac:dyDescent="0.2">
      <c r="A185" s="1" t="s">
        <v>2731</v>
      </c>
    </row>
    <row r="186" spans="1:8" x14ac:dyDescent="0.2">
      <c r="A186" s="1" t="s">
        <v>2732</v>
      </c>
    </row>
    <row r="187" spans="1:8" x14ac:dyDescent="0.2">
      <c r="A187" s="1" t="s">
        <v>2733</v>
      </c>
    </row>
    <row r="189" spans="1:8" x14ac:dyDescent="0.2">
      <c r="A189" s="1" t="s">
        <v>2734</v>
      </c>
    </row>
    <row r="190" spans="1:8" x14ac:dyDescent="0.2">
      <c r="A190" s="1" t="s">
        <v>2735</v>
      </c>
    </row>
    <row r="192" spans="1:8" x14ac:dyDescent="0.2">
      <c r="A192" s="2" t="s">
        <v>675</v>
      </c>
    </row>
    <row r="194" spans="1:7" x14ac:dyDescent="0.2">
      <c r="A194" s="464">
        <v>43831</v>
      </c>
      <c r="B194" s="543" t="s">
        <v>2736</v>
      </c>
      <c r="C194" s="543"/>
      <c r="D194" s="543"/>
      <c r="E194" s="13"/>
      <c r="F194" s="13"/>
      <c r="G194" s="12"/>
    </row>
    <row r="195" spans="1:7" x14ac:dyDescent="0.2">
      <c r="B195" s="13" t="s">
        <v>2737</v>
      </c>
      <c r="C195" s="13"/>
      <c r="D195" s="13"/>
      <c r="E195" s="248">
        <v>80000</v>
      </c>
      <c r="F195" s="13"/>
      <c r="G195" s="12"/>
    </row>
    <row r="196" spans="1:7" x14ac:dyDescent="0.2">
      <c r="B196" s="13" t="s">
        <v>2738</v>
      </c>
      <c r="C196" s="13"/>
      <c r="D196" s="13"/>
      <c r="E196" s="248">
        <f>E195</f>
        <v>80000</v>
      </c>
      <c r="F196" s="13"/>
      <c r="G196" s="12"/>
    </row>
    <row r="197" spans="1:7" x14ac:dyDescent="0.2">
      <c r="B197" s="13"/>
      <c r="C197" s="13"/>
      <c r="D197" s="13"/>
      <c r="E197" s="13"/>
      <c r="F197" s="13"/>
      <c r="G197" s="12"/>
    </row>
    <row r="198" spans="1:7" s="13" customFormat="1" x14ac:dyDescent="0.2">
      <c r="A198" s="544">
        <v>44196</v>
      </c>
      <c r="B198" s="543" t="s">
        <v>2739</v>
      </c>
      <c r="C198" s="543"/>
    </row>
    <row r="199" spans="1:7" s="13" customFormat="1" x14ac:dyDescent="0.2">
      <c r="B199" s="13" t="s">
        <v>2018</v>
      </c>
      <c r="E199" s="248">
        <f>80000/8</f>
        <v>10000</v>
      </c>
      <c r="G199" s="13" t="s">
        <v>2740</v>
      </c>
    </row>
    <row r="200" spans="1:7" s="13" customFormat="1" x14ac:dyDescent="0.2">
      <c r="B200" s="13" t="s">
        <v>2713</v>
      </c>
      <c r="E200" s="248">
        <f>E199</f>
        <v>10000</v>
      </c>
    </row>
    <row r="201" spans="1:7" s="13" customFormat="1" x14ac:dyDescent="0.2"/>
    <row r="202" spans="1:7" s="13" customFormat="1" x14ac:dyDescent="0.2">
      <c r="A202" s="544">
        <v>44561</v>
      </c>
      <c r="B202" s="543" t="s">
        <v>2739</v>
      </c>
      <c r="C202" s="543"/>
    </row>
    <row r="203" spans="1:7" s="13" customFormat="1" x14ac:dyDescent="0.2">
      <c r="B203" s="13" t="s">
        <v>2018</v>
      </c>
      <c r="E203" s="248">
        <f>E199</f>
        <v>10000</v>
      </c>
      <c r="G203" s="13" t="s">
        <v>2740</v>
      </c>
    </row>
    <row r="204" spans="1:7" s="13" customFormat="1" x14ac:dyDescent="0.2">
      <c r="B204" s="13" t="s">
        <v>2713</v>
      </c>
      <c r="E204" s="248">
        <f>E203</f>
        <v>10000</v>
      </c>
    </row>
    <row r="205" spans="1:7" s="13" customFormat="1" x14ac:dyDescent="0.2"/>
    <row r="206" spans="1:7" s="13" customFormat="1" x14ac:dyDescent="0.2">
      <c r="B206" s="13" t="s">
        <v>2741</v>
      </c>
    </row>
    <row r="207" spans="1:7" s="13" customFormat="1" x14ac:dyDescent="0.2">
      <c r="B207" s="13" t="s">
        <v>2742</v>
      </c>
    </row>
    <row r="209" spans="1:11" x14ac:dyDescent="0.2">
      <c r="A209" s="464">
        <v>44621</v>
      </c>
      <c r="B209" s="144" t="s">
        <v>3214</v>
      </c>
      <c r="C209" s="144"/>
    </row>
    <row r="210" spans="1:11" x14ac:dyDescent="0.2">
      <c r="B210" s="1" t="s">
        <v>2018</v>
      </c>
      <c r="E210" s="24">
        <f>E203*2/12</f>
        <v>1666.6666666666667</v>
      </c>
      <c r="G210" s="1" t="s">
        <v>2743</v>
      </c>
    </row>
    <row r="211" spans="1:11" x14ac:dyDescent="0.2">
      <c r="B211" s="1" t="s">
        <v>2713</v>
      </c>
      <c r="E211" s="24">
        <f>E210</f>
        <v>1666.6666666666667</v>
      </c>
    </row>
    <row r="212" spans="1:11" x14ac:dyDescent="0.2">
      <c r="E212" s="24"/>
    </row>
    <row r="213" spans="1:11" x14ac:dyDescent="0.2">
      <c r="B213" s="1" t="s">
        <v>3215</v>
      </c>
      <c r="E213" s="24"/>
    </row>
    <row r="214" spans="1:11" x14ac:dyDescent="0.2">
      <c r="E214" s="24"/>
    </row>
    <row r="215" spans="1:11" x14ac:dyDescent="0.2">
      <c r="C215" s="1" t="s">
        <v>695</v>
      </c>
      <c r="E215" s="24">
        <v>80000</v>
      </c>
      <c r="I215" s="1" t="s">
        <v>1423</v>
      </c>
      <c r="K215" s="1">
        <v>37000</v>
      </c>
    </row>
    <row r="216" spans="1:11" x14ac:dyDescent="0.2">
      <c r="C216" s="1" t="s">
        <v>667</v>
      </c>
      <c r="E216" s="24">
        <f>10000*(2+2/12)</f>
        <v>21666.666666666664</v>
      </c>
      <c r="G216" s="1" t="s">
        <v>3216</v>
      </c>
      <c r="I216" s="1" t="s">
        <v>2040</v>
      </c>
      <c r="K216" s="24">
        <f>E217</f>
        <v>58333.333333333336</v>
      </c>
    </row>
    <row r="217" spans="1:11" x14ac:dyDescent="0.2">
      <c r="C217" s="1" t="s">
        <v>2040</v>
      </c>
      <c r="E217" s="24">
        <f>E215-E216</f>
        <v>58333.333333333336</v>
      </c>
      <c r="I217" s="1" t="s">
        <v>748</v>
      </c>
      <c r="K217" s="24">
        <f>K215-K216</f>
        <v>-21333.333333333336</v>
      </c>
    </row>
    <row r="218" spans="1:11" x14ac:dyDescent="0.2">
      <c r="E218" s="24"/>
    </row>
    <row r="219" spans="1:11" x14ac:dyDescent="0.2">
      <c r="A219" s="464">
        <v>44621</v>
      </c>
      <c r="B219" s="144" t="s">
        <v>2744</v>
      </c>
      <c r="C219" s="144"/>
      <c r="E219" s="24"/>
    </row>
    <row r="220" spans="1:11" x14ac:dyDescent="0.2">
      <c r="B220" s="1" t="s">
        <v>1720</v>
      </c>
      <c r="E220" s="24">
        <v>37000</v>
      </c>
      <c r="F220" s="1" t="s">
        <v>3217</v>
      </c>
    </row>
    <row r="221" spans="1:11" x14ac:dyDescent="0.2">
      <c r="B221" s="1" t="s">
        <v>2745</v>
      </c>
      <c r="E221" s="24">
        <f>E195</f>
        <v>80000</v>
      </c>
      <c r="F221" s="1" t="s">
        <v>3218</v>
      </c>
    </row>
    <row r="222" spans="1:11" x14ac:dyDescent="0.2">
      <c r="B222" s="1" t="s">
        <v>2721</v>
      </c>
      <c r="E222" s="24">
        <f>E200+E204+E211</f>
        <v>21666.666666666668</v>
      </c>
      <c r="G222" s="1" t="s">
        <v>2746</v>
      </c>
      <c r="H222" s="1" t="s">
        <v>3219</v>
      </c>
    </row>
    <row r="223" spans="1:11" x14ac:dyDescent="0.2">
      <c r="B223" s="1" t="s">
        <v>2191</v>
      </c>
      <c r="E223" s="24">
        <f>-K217</f>
        <v>21333.333333333336</v>
      </c>
      <c r="F223" s="1" t="s">
        <v>3220</v>
      </c>
    </row>
    <row r="224" spans="1:11" x14ac:dyDescent="0.2">
      <c r="E224" s="24"/>
    </row>
    <row r="225" spans="1:8" x14ac:dyDescent="0.2">
      <c r="E225" s="24"/>
    </row>
    <row r="226" spans="1:8" x14ac:dyDescent="0.2">
      <c r="E226" s="24"/>
    </row>
    <row r="227" spans="1:8" x14ac:dyDescent="0.2">
      <c r="A227" s="143" t="s">
        <v>882</v>
      </c>
      <c r="B227" s="132"/>
      <c r="C227" s="132"/>
      <c r="D227" s="132"/>
      <c r="E227" s="132"/>
      <c r="F227" s="132"/>
      <c r="G227" s="132"/>
      <c r="H227" s="132"/>
    </row>
    <row r="228" spans="1:8" x14ac:dyDescent="0.2">
      <c r="A228" s="1" t="s">
        <v>883</v>
      </c>
    </row>
    <row r="229" spans="1:8" x14ac:dyDescent="0.2">
      <c r="A229" s="1" t="s">
        <v>884</v>
      </c>
    </row>
    <row r="230" spans="1:8" x14ac:dyDescent="0.2">
      <c r="A230" s="1" t="s">
        <v>885</v>
      </c>
    </row>
    <row r="231" spans="1:8" x14ac:dyDescent="0.2">
      <c r="A231" s="1" t="s">
        <v>886</v>
      </c>
    </row>
    <row r="232" spans="1:8" x14ac:dyDescent="0.2">
      <c r="A232" s="1" t="s">
        <v>887</v>
      </c>
    </row>
    <row r="233" spans="1:8" x14ac:dyDescent="0.2">
      <c r="A233" s="1" t="s">
        <v>888</v>
      </c>
    </row>
    <row r="234" spans="1:8" x14ac:dyDescent="0.2">
      <c r="A234" s="1" t="s">
        <v>889</v>
      </c>
    </row>
    <row r="236" spans="1:8" x14ac:dyDescent="0.2">
      <c r="A236" s="1" t="s">
        <v>890</v>
      </c>
    </row>
    <row r="238" spans="1:8" x14ac:dyDescent="0.2">
      <c r="A238" s="1" t="s">
        <v>891</v>
      </c>
      <c r="B238" s="1" t="s">
        <v>892</v>
      </c>
    </row>
    <row r="242" spans="1:8" x14ac:dyDescent="0.2">
      <c r="A242" s="1" t="s">
        <v>893</v>
      </c>
      <c r="B242" s="1" t="s">
        <v>894</v>
      </c>
    </row>
    <row r="243" spans="1:8" x14ac:dyDescent="0.2">
      <c r="B243" s="1" t="s">
        <v>895</v>
      </c>
    </row>
    <row r="245" spans="1:8" x14ac:dyDescent="0.2">
      <c r="A245" s="1" t="s">
        <v>896</v>
      </c>
      <c r="B245" s="1" t="s">
        <v>897</v>
      </c>
    </row>
    <row r="248" spans="1:8" ht="17" thickBot="1" x14ac:dyDescent="0.25"/>
    <row r="249" spans="1:8" x14ac:dyDescent="0.2">
      <c r="A249" s="18" t="s">
        <v>898</v>
      </c>
      <c r="B249" s="100"/>
      <c r="C249" s="100"/>
      <c r="D249" s="100"/>
      <c r="E249" s="100"/>
      <c r="F249" s="100"/>
      <c r="G249" s="100"/>
      <c r="H249" s="19"/>
    </row>
    <row r="250" spans="1:8" x14ac:dyDescent="0.2">
      <c r="A250" s="106" t="s">
        <v>899</v>
      </c>
      <c r="H250" s="107"/>
    </row>
    <row r="251" spans="1:8" x14ac:dyDescent="0.2">
      <c r="A251" s="106" t="s">
        <v>900</v>
      </c>
      <c r="H251" s="107"/>
    </row>
    <row r="252" spans="1:8" x14ac:dyDescent="0.2">
      <c r="A252" s="106" t="s">
        <v>901</v>
      </c>
      <c r="H252" s="107"/>
    </row>
    <row r="253" spans="1:8" x14ac:dyDescent="0.2">
      <c r="A253" s="106" t="s">
        <v>902</v>
      </c>
      <c r="H253" s="107"/>
    </row>
    <row r="254" spans="1:8" x14ac:dyDescent="0.2">
      <c r="A254" s="106"/>
      <c r="H254" s="107"/>
    </row>
    <row r="255" spans="1:8" ht="17" thickBot="1" x14ac:dyDescent="0.25">
      <c r="A255" s="20" t="s">
        <v>903</v>
      </c>
      <c r="B255" s="103"/>
      <c r="C255" s="103"/>
      <c r="D255" s="103"/>
      <c r="E255" s="103"/>
      <c r="F255" s="103"/>
      <c r="G255" s="103"/>
      <c r="H255" s="21"/>
    </row>
    <row r="257" spans="1:8" x14ac:dyDescent="0.2">
      <c r="A257" s="2"/>
      <c r="H257" s="6" t="s">
        <v>808</v>
      </c>
    </row>
    <row r="258" spans="1:8" x14ac:dyDescent="0.2">
      <c r="A258" s="2"/>
      <c r="H258" s="6" t="s">
        <v>809</v>
      </c>
    </row>
    <row r="259" spans="1:8" x14ac:dyDescent="0.2">
      <c r="D259" s="6" t="s">
        <v>796</v>
      </c>
      <c r="E259" s="6" t="s">
        <v>796</v>
      </c>
      <c r="F259" s="6" t="s">
        <v>796</v>
      </c>
      <c r="G259" s="136" t="s">
        <v>797</v>
      </c>
      <c r="H259" s="6" t="s">
        <v>796</v>
      </c>
    </row>
    <row r="260" spans="1:8" x14ac:dyDescent="0.2">
      <c r="D260" s="86">
        <v>43100</v>
      </c>
      <c r="E260" s="86">
        <v>43465</v>
      </c>
      <c r="F260" s="86">
        <v>43830</v>
      </c>
      <c r="G260" s="137"/>
      <c r="H260" s="86">
        <v>44196</v>
      </c>
    </row>
    <row r="261" spans="1:8" x14ac:dyDescent="0.2">
      <c r="A261" s="1" t="s">
        <v>798</v>
      </c>
      <c r="B261" s="1" t="s">
        <v>695</v>
      </c>
      <c r="D261" s="44">
        <v>5000</v>
      </c>
      <c r="E261" s="44">
        <f>D261</f>
        <v>5000</v>
      </c>
      <c r="F261" s="44">
        <f>E261</f>
        <v>5000</v>
      </c>
      <c r="G261" s="138">
        <f>F261</f>
        <v>5000</v>
      </c>
      <c r="H261" s="44">
        <v>0</v>
      </c>
    </row>
    <row r="262" spans="1:8" x14ac:dyDescent="0.2">
      <c r="A262" s="1" t="s">
        <v>800</v>
      </c>
      <c r="B262" s="1" t="s">
        <v>667</v>
      </c>
      <c r="D262" s="44">
        <f>-D265</f>
        <v>-889</v>
      </c>
      <c r="E262" s="44">
        <f>D262-E265</f>
        <v>-1667</v>
      </c>
      <c r="F262" s="44">
        <f>E262-F265</f>
        <v>-2334</v>
      </c>
      <c r="G262" s="138">
        <f>F262-G265</f>
        <v>-2751</v>
      </c>
      <c r="H262" s="44">
        <v>0</v>
      </c>
    </row>
    <row r="263" spans="1:8" x14ac:dyDescent="0.2">
      <c r="A263" s="1" t="s">
        <v>801</v>
      </c>
      <c r="B263" s="1" t="s">
        <v>795</v>
      </c>
      <c r="D263" s="134">
        <f>D261+D262</f>
        <v>4111</v>
      </c>
      <c r="E263" s="134">
        <f>E261+E262</f>
        <v>3333</v>
      </c>
      <c r="F263" s="134">
        <f>F261+F262</f>
        <v>2666</v>
      </c>
      <c r="G263" s="139">
        <f>G261+G262</f>
        <v>2249</v>
      </c>
      <c r="H263" s="134">
        <v>0</v>
      </c>
    </row>
    <row r="264" spans="1:8" x14ac:dyDescent="0.2">
      <c r="G264" s="119"/>
    </row>
    <row r="265" spans="1:8" x14ac:dyDescent="0.2">
      <c r="A265" s="1" t="s">
        <v>799</v>
      </c>
      <c r="B265" s="1" t="s">
        <v>712</v>
      </c>
      <c r="D265" s="41">
        <v>889</v>
      </c>
      <c r="E265" s="6">
        <v>778</v>
      </c>
      <c r="F265" s="6">
        <v>667</v>
      </c>
      <c r="G265" s="136">
        <v>417</v>
      </c>
      <c r="H265" s="6">
        <f>G265</f>
        <v>417</v>
      </c>
    </row>
    <row r="266" spans="1:8" ht="17" thickBot="1" x14ac:dyDescent="0.25">
      <c r="G266" s="119"/>
    </row>
    <row r="267" spans="1:8" ht="17" thickBot="1" x14ac:dyDescent="0.25">
      <c r="A267" s="1" t="s">
        <v>802</v>
      </c>
      <c r="B267" s="1" t="s">
        <v>760</v>
      </c>
      <c r="D267" s="142"/>
      <c r="E267" s="142"/>
      <c r="F267" s="142"/>
      <c r="G267" s="142"/>
      <c r="H267" s="140">
        <f>2400-G263</f>
        <v>151</v>
      </c>
    </row>
    <row r="270" spans="1:8" x14ac:dyDescent="0.2">
      <c r="A270" s="2" t="s">
        <v>810</v>
      </c>
    </row>
    <row r="271" spans="1:8" x14ac:dyDescent="0.2">
      <c r="A271" s="1" t="s">
        <v>904</v>
      </c>
    </row>
    <row r="273" spans="1:4" x14ac:dyDescent="0.2">
      <c r="A273" s="144" t="s">
        <v>891</v>
      </c>
      <c r="B273" s="144" t="s">
        <v>892</v>
      </c>
      <c r="C273" s="144"/>
      <c r="D273" s="144"/>
    </row>
    <row r="277" spans="1:4" x14ac:dyDescent="0.2">
      <c r="B277" s="1" t="s">
        <v>905</v>
      </c>
    </row>
    <row r="278" spans="1:4" x14ac:dyDescent="0.2">
      <c r="B278" s="1" t="s">
        <v>906</v>
      </c>
    </row>
    <row r="282" spans="1:4" x14ac:dyDescent="0.2">
      <c r="A282" s="144" t="s">
        <v>893</v>
      </c>
      <c r="B282" s="144" t="s">
        <v>907</v>
      </c>
      <c r="C282" s="144"/>
    </row>
    <row r="283" spans="1:4" x14ac:dyDescent="0.2">
      <c r="B283" s="1" t="s">
        <v>908</v>
      </c>
    </row>
    <row r="284" spans="1:4" x14ac:dyDescent="0.2">
      <c r="B284" s="1" t="s">
        <v>909</v>
      </c>
    </row>
    <row r="285" spans="1:4" x14ac:dyDescent="0.2">
      <c r="B285" s="1" t="s">
        <v>910</v>
      </c>
    </row>
    <row r="287" spans="1:4" x14ac:dyDescent="0.2">
      <c r="C287" s="1" t="s">
        <v>929</v>
      </c>
    </row>
    <row r="289" spans="1:7" x14ac:dyDescent="0.2">
      <c r="C289" s="145" t="s">
        <v>644</v>
      </c>
    </row>
    <row r="290" spans="1:7" x14ac:dyDescent="0.2">
      <c r="B290" s="6" t="s">
        <v>416</v>
      </c>
      <c r="C290" s="145" t="s">
        <v>914</v>
      </c>
      <c r="D290" s="6" t="s">
        <v>913</v>
      </c>
      <c r="E290" s="6" t="s">
        <v>912</v>
      </c>
      <c r="F290" s="6" t="s">
        <v>911</v>
      </c>
      <c r="G290" s="6" t="s">
        <v>817</v>
      </c>
    </row>
    <row r="293" spans="1:7" x14ac:dyDescent="0.2">
      <c r="C293" s="6">
        <v>5</v>
      </c>
      <c r="D293" s="54">
        <v>6</v>
      </c>
      <c r="E293" s="54">
        <v>7</v>
      </c>
      <c r="F293" s="581">
        <v>8</v>
      </c>
      <c r="G293" s="581"/>
    </row>
    <row r="294" spans="1:7" x14ac:dyDescent="0.2">
      <c r="C294" s="6" t="s">
        <v>917</v>
      </c>
      <c r="D294" s="1" t="s">
        <v>916</v>
      </c>
      <c r="E294" s="1" t="s">
        <v>915</v>
      </c>
      <c r="F294" s="581" t="s">
        <v>690</v>
      </c>
      <c r="G294" s="581"/>
    </row>
    <row r="295" spans="1:7" x14ac:dyDescent="0.2">
      <c r="C295" s="6"/>
      <c r="F295" s="6"/>
      <c r="G295" s="6"/>
    </row>
    <row r="296" spans="1:7" x14ac:dyDescent="0.2">
      <c r="A296" s="144" t="s">
        <v>896</v>
      </c>
      <c r="B296" s="1" t="s">
        <v>919</v>
      </c>
    </row>
    <row r="297" spans="1:7" x14ac:dyDescent="0.2">
      <c r="B297" s="1" t="s">
        <v>918</v>
      </c>
    </row>
    <row r="302" spans="1:7" x14ac:dyDescent="0.2">
      <c r="C302" s="1" t="s">
        <v>920</v>
      </c>
    </row>
    <row r="303" spans="1:7" x14ac:dyDescent="0.2">
      <c r="C303" s="1" t="s">
        <v>921</v>
      </c>
      <c r="E303" s="1" t="s">
        <v>695</v>
      </c>
    </row>
    <row r="308" spans="3:4" x14ac:dyDescent="0.2">
      <c r="C308" s="6" t="s">
        <v>922</v>
      </c>
      <c r="D308" s="1" t="s">
        <v>855</v>
      </c>
    </row>
    <row r="309" spans="3:4" x14ac:dyDescent="0.2">
      <c r="C309" s="6" t="s">
        <v>923</v>
      </c>
    </row>
    <row r="310" spans="3:4" x14ac:dyDescent="0.2">
      <c r="C310" s="6" t="s">
        <v>924</v>
      </c>
    </row>
    <row r="311" spans="3:4" x14ac:dyDescent="0.2">
      <c r="C311" s="6" t="s">
        <v>925</v>
      </c>
    </row>
    <row r="312" spans="3:4" x14ac:dyDescent="0.2">
      <c r="C312" s="6" t="s">
        <v>926</v>
      </c>
    </row>
    <row r="314" spans="3:4" x14ac:dyDescent="0.2">
      <c r="C314" s="1" t="s">
        <v>927</v>
      </c>
    </row>
    <row r="315" spans="3:4" x14ac:dyDescent="0.2">
      <c r="C315" s="1" t="s">
        <v>928</v>
      </c>
    </row>
    <row r="323" spans="1:4" x14ac:dyDescent="0.2">
      <c r="A323" s="1" t="s">
        <v>931</v>
      </c>
      <c r="D323" s="1" t="s">
        <v>930</v>
      </c>
    </row>
    <row r="324" spans="1:4" x14ac:dyDescent="0.2">
      <c r="A324" s="1" t="s">
        <v>932</v>
      </c>
    </row>
    <row r="325" spans="1:4" x14ac:dyDescent="0.2">
      <c r="A325" s="1" t="s">
        <v>933</v>
      </c>
    </row>
    <row r="328" spans="1:4" x14ac:dyDescent="0.2">
      <c r="A328" s="2" t="s">
        <v>934</v>
      </c>
    </row>
    <row r="329" spans="1:4" x14ac:dyDescent="0.2">
      <c r="A329" s="2" t="s">
        <v>935</v>
      </c>
    </row>
    <row r="330" spans="1:4" x14ac:dyDescent="0.2">
      <c r="A330" s="2" t="s">
        <v>936</v>
      </c>
    </row>
    <row r="334" spans="1:4" x14ac:dyDescent="0.2">
      <c r="A334" s="1" t="s">
        <v>938</v>
      </c>
    </row>
    <row r="335" spans="1:4" x14ac:dyDescent="0.2">
      <c r="A335" s="1" t="s">
        <v>937</v>
      </c>
    </row>
    <row r="337" spans="1:8" x14ac:dyDescent="0.2">
      <c r="A337" s="620">
        <f>-G262</f>
        <v>2751</v>
      </c>
    </row>
    <row r="338" spans="1:8" x14ac:dyDescent="0.2">
      <c r="A338" s="620"/>
    </row>
    <row r="340" spans="1:8" x14ac:dyDescent="0.2">
      <c r="A340" s="2" t="s">
        <v>939</v>
      </c>
    </row>
    <row r="341" spans="1:8" x14ac:dyDescent="0.2">
      <c r="A341" s="1" t="s">
        <v>940</v>
      </c>
    </row>
    <row r="342" spans="1:8" x14ac:dyDescent="0.2">
      <c r="A342" s="1" t="s">
        <v>941</v>
      </c>
    </row>
    <row r="343" spans="1:8" x14ac:dyDescent="0.2">
      <c r="B343" s="1" t="s">
        <v>945</v>
      </c>
      <c r="D343" s="41">
        <v>2400</v>
      </c>
    </row>
    <row r="344" spans="1:8" ht="17" thickBot="1" x14ac:dyDescent="0.25">
      <c r="B344" s="1" t="s">
        <v>942</v>
      </c>
      <c r="D344" s="41">
        <f>5000-A337</f>
        <v>2249</v>
      </c>
    </row>
    <row r="345" spans="1:8" ht="17" thickBot="1" x14ac:dyDescent="0.25">
      <c r="B345" s="1" t="s">
        <v>943</v>
      </c>
      <c r="D345" s="124">
        <f>D343-D344</f>
        <v>151</v>
      </c>
      <c r="F345" s="1" t="s">
        <v>944</v>
      </c>
    </row>
    <row r="350" spans="1:8" x14ac:dyDescent="0.2">
      <c r="A350" s="132" t="s">
        <v>946</v>
      </c>
      <c r="B350" s="132"/>
      <c r="C350" s="132"/>
      <c r="D350" s="132"/>
      <c r="E350" s="132"/>
      <c r="F350" s="132"/>
      <c r="G350" s="132"/>
      <c r="H350" s="132"/>
    </row>
    <row r="351" spans="1:8" ht="17" thickBot="1" x14ac:dyDescent="0.25"/>
    <row r="352" spans="1:8" x14ac:dyDescent="0.2">
      <c r="A352" s="18" t="s">
        <v>898</v>
      </c>
      <c r="B352" s="100"/>
      <c r="C352" s="100"/>
      <c r="D352" s="100"/>
      <c r="E352" s="100"/>
      <c r="F352" s="100"/>
      <c r="G352" s="100"/>
      <c r="H352" s="19"/>
    </row>
    <row r="353" spans="1:8" x14ac:dyDescent="0.2">
      <c r="A353" s="106" t="s">
        <v>947</v>
      </c>
      <c r="H353" s="107"/>
    </row>
    <row r="354" spans="1:8" x14ac:dyDescent="0.2">
      <c r="A354" s="106" t="s">
        <v>948</v>
      </c>
      <c r="H354" s="107"/>
    </row>
    <row r="355" spans="1:8" x14ac:dyDescent="0.2">
      <c r="A355" s="106" t="s">
        <v>901</v>
      </c>
      <c r="H355" s="107"/>
    </row>
    <row r="356" spans="1:8" x14ac:dyDescent="0.2">
      <c r="A356" s="106" t="s">
        <v>949</v>
      </c>
      <c r="H356" s="107"/>
    </row>
    <row r="357" spans="1:8" x14ac:dyDescent="0.2">
      <c r="A357" s="106"/>
      <c r="H357" s="107"/>
    </row>
    <row r="358" spans="1:8" ht="17" thickBot="1" x14ac:dyDescent="0.25">
      <c r="A358" s="20" t="s">
        <v>950</v>
      </c>
      <c r="B358" s="103"/>
      <c r="C358" s="103"/>
      <c r="D358" s="103"/>
      <c r="E358" s="103"/>
      <c r="F358" s="103"/>
      <c r="G358" s="103"/>
      <c r="H358" s="21"/>
    </row>
    <row r="359" spans="1:8" ht="17" thickBot="1" x14ac:dyDescent="0.25">
      <c r="A359" s="146" t="s">
        <v>951</v>
      </c>
      <c r="B359" s="121"/>
      <c r="C359" s="121"/>
      <c r="D359" s="121"/>
      <c r="E359" s="121"/>
      <c r="F359" s="121"/>
      <c r="G359" s="121"/>
      <c r="H359" s="147"/>
    </row>
    <row r="361" spans="1:8" x14ac:dyDescent="0.2">
      <c r="A361" s="3" t="s">
        <v>955</v>
      </c>
    </row>
    <row r="362" spans="1:8" x14ac:dyDescent="0.2">
      <c r="A362" s="2" t="s">
        <v>952</v>
      </c>
      <c r="B362" s="1">
        <f>10*11/2</f>
        <v>55</v>
      </c>
      <c r="D362" s="1" t="s">
        <v>953</v>
      </c>
      <c r="H362" s="6" t="s">
        <v>808</v>
      </c>
    </row>
    <row r="363" spans="1:8" x14ac:dyDescent="0.2">
      <c r="A363" s="2"/>
      <c r="H363" s="6" t="s">
        <v>809</v>
      </c>
    </row>
    <row r="364" spans="1:8" x14ac:dyDescent="0.2">
      <c r="D364" s="6" t="s">
        <v>796</v>
      </c>
      <c r="E364" s="6" t="s">
        <v>796</v>
      </c>
      <c r="F364" s="6" t="s">
        <v>796</v>
      </c>
      <c r="G364" s="136" t="s">
        <v>797</v>
      </c>
      <c r="H364" s="6" t="s">
        <v>796</v>
      </c>
    </row>
    <row r="365" spans="1:8" x14ac:dyDescent="0.2">
      <c r="D365" s="86">
        <v>43100</v>
      </c>
      <c r="E365" s="86">
        <v>43465</v>
      </c>
      <c r="F365" s="86">
        <v>43830</v>
      </c>
      <c r="G365" s="137">
        <v>43922</v>
      </c>
      <c r="H365" s="86">
        <v>44196</v>
      </c>
    </row>
    <row r="366" spans="1:8" x14ac:dyDescent="0.2">
      <c r="A366" s="1" t="s">
        <v>798</v>
      </c>
      <c r="B366" s="1" t="s">
        <v>695</v>
      </c>
      <c r="D366" s="44">
        <v>60000</v>
      </c>
      <c r="E366" s="44">
        <f>D366</f>
        <v>60000</v>
      </c>
      <c r="F366" s="44">
        <f>E366</f>
        <v>60000</v>
      </c>
      <c r="G366" s="138">
        <f>F366</f>
        <v>60000</v>
      </c>
      <c r="H366" s="44">
        <v>0</v>
      </c>
    </row>
    <row r="367" spans="1:8" x14ac:dyDescent="0.2">
      <c r="A367" s="1" t="s">
        <v>800</v>
      </c>
      <c r="B367" s="1" t="s">
        <v>667</v>
      </c>
      <c r="D367" s="44">
        <f>-D370</f>
        <v>-10909.09090909091</v>
      </c>
      <c r="E367" s="44">
        <f>D367-E370</f>
        <v>-20727.272727272728</v>
      </c>
      <c r="F367" s="44">
        <f>E367-F370</f>
        <v>-29454.545454545456</v>
      </c>
      <c r="G367" s="138">
        <f>F367-G370</f>
        <v>-31363.636363636364</v>
      </c>
      <c r="H367" s="44">
        <v>0</v>
      </c>
    </row>
    <row r="368" spans="1:8" x14ac:dyDescent="0.2">
      <c r="A368" s="1" t="s">
        <v>801</v>
      </c>
      <c r="B368" s="1" t="s">
        <v>795</v>
      </c>
      <c r="D368" s="134">
        <f>D366+D367</f>
        <v>49090.909090909088</v>
      </c>
      <c r="E368" s="134">
        <f t="shared" ref="E368:F368" si="13">E366+E367</f>
        <v>39272.727272727272</v>
      </c>
      <c r="F368" s="134">
        <f t="shared" si="13"/>
        <v>30545.454545454544</v>
      </c>
      <c r="G368" s="139">
        <f>G366+G367</f>
        <v>28636.363636363636</v>
      </c>
      <c r="H368" s="134">
        <v>0</v>
      </c>
    </row>
    <row r="369" spans="1:9" x14ac:dyDescent="0.2">
      <c r="G369" s="119"/>
    </row>
    <row r="370" spans="1:9" x14ac:dyDescent="0.2">
      <c r="A370" s="1" t="s">
        <v>799</v>
      </c>
      <c r="B370" s="1" t="s">
        <v>712</v>
      </c>
      <c r="D370" s="41">
        <f>(60000-0)*10/55</f>
        <v>10909.09090909091</v>
      </c>
      <c r="E370" s="41">
        <f>(60000-0)*9/55</f>
        <v>9818.181818181818</v>
      </c>
      <c r="F370" s="41">
        <f>(60000-0)*8/55</f>
        <v>8727.2727272727279</v>
      </c>
      <c r="G370" s="138">
        <f>(60000-0)*(7*3/12)/55</f>
        <v>1909.090909090909</v>
      </c>
      <c r="H370" s="44">
        <f>G370</f>
        <v>1909.090909090909</v>
      </c>
    </row>
    <row r="371" spans="1:9" ht="17" thickBot="1" x14ac:dyDescent="0.25">
      <c r="G371" s="119"/>
    </row>
    <row r="372" spans="1:9" ht="17" thickBot="1" x14ac:dyDescent="0.25">
      <c r="A372" s="1" t="s">
        <v>802</v>
      </c>
      <c r="B372" s="1" t="s">
        <v>760</v>
      </c>
      <c r="D372" s="142"/>
      <c r="E372" s="142"/>
      <c r="F372" s="142"/>
      <c r="G372" s="142"/>
      <c r="H372" s="140">
        <f>33000-G368</f>
        <v>4363.636363636364</v>
      </c>
      <c r="I372" s="28" t="s">
        <v>954</v>
      </c>
    </row>
    <row r="374" spans="1:9" x14ac:dyDescent="0.2">
      <c r="A374" s="3" t="s">
        <v>956</v>
      </c>
    </row>
    <row r="375" spans="1:9" x14ac:dyDescent="0.2">
      <c r="A375" s="1" t="s">
        <v>959</v>
      </c>
    </row>
    <row r="383" spans="1:9" x14ac:dyDescent="0.2">
      <c r="A383" s="1" t="s">
        <v>957</v>
      </c>
    </row>
    <row r="384" spans="1:9" x14ac:dyDescent="0.2">
      <c r="A384" s="1" t="s">
        <v>958</v>
      </c>
    </row>
    <row r="386" spans="1:9" x14ac:dyDescent="0.2">
      <c r="B386" s="1" t="s">
        <v>695</v>
      </c>
      <c r="C386" s="24">
        <v>60000</v>
      </c>
    </row>
    <row r="387" spans="1:9" ht="17" thickBot="1" x14ac:dyDescent="0.25">
      <c r="B387" s="1" t="s">
        <v>667</v>
      </c>
      <c r="C387" s="24">
        <v>-7636</v>
      </c>
    </row>
    <row r="388" spans="1:9" ht="17" thickBot="1" x14ac:dyDescent="0.25">
      <c r="B388" s="1" t="s">
        <v>696</v>
      </c>
      <c r="C388" s="26">
        <f>C386+C387</f>
        <v>52364</v>
      </c>
    </row>
    <row r="390" spans="1:9" x14ac:dyDescent="0.2">
      <c r="B390" s="1" t="s">
        <v>960</v>
      </c>
      <c r="C390" s="24">
        <v>33000</v>
      </c>
    </row>
    <row r="391" spans="1:9" ht="17" thickBot="1" x14ac:dyDescent="0.25">
      <c r="B391" s="1" t="s">
        <v>961</v>
      </c>
      <c r="C391" s="24">
        <f>-C388</f>
        <v>-52364</v>
      </c>
    </row>
    <row r="392" spans="1:9" ht="17" thickBot="1" x14ac:dyDescent="0.25">
      <c r="B392" s="1" t="s">
        <v>748</v>
      </c>
      <c r="C392" s="148">
        <f>C390+C391</f>
        <v>-19364</v>
      </c>
      <c r="D392" s="1" t="s">
        <v>962</v>
      </c>
    </row>
    <row r="394" spans="1:9" x14ac:dyDescent="0.2">
      <c r="A394" s="546" t="s">
        <v>3234</v>
      </c>
      <c r="B394" s="546"/>
      <c r="C394" s="546"/>
      <c r="D394" s="546"/>
      <c r="E394" s="546"/>
      <c r="F394" s="546"/>
      <c r="G394" s="546"/>
      <c r="H394" s="546"/>
    </row>
    <row r="399" spans="1:9" x14ac:dyDescent="0.2">
      <c r="I399" s="1" t="s">
        <v>3221</v>
      </c>
    </row>
    <row r="400" spans="1:9" x14ac:dyDescent="0.2">
      <c r="I400" s="1" t="s">
        <v>3222</v>
      </c>
    </row>
    <row r="401" spans="2:11" x14ac:dyDescent="0.2">
      <c r="K401" s="1" t="s">
        <v>3223</v>
      </c>
    </row>
    <row r="402" spans="2:11" x14ac:dyDescent="0.2">
      <c r="I402" s="1" t="s">
        <v>3224</v>
      </c>
    </row>
    <row r="403" spans="2:11" x14ac:dyDescent="0.2">
      <c r="I403" s="1" t="s">
        <v>3225</v>
      </c>
    </row>
    <row r="404" spans="2:11" x14ac:dyDescent="0.2">
      <c r="I404" s="1" t="s">
        <v>3226</v>
      </c>
    </row>
    <row r="405" spans="2:11" x14ac:dyDescent="0.2">
      <c r="I405" s="1" t="s">
        <v>3227</v>
      </c>
    </row>
    <row r="406" spans="2:11" x14ac:dyDescent="0.2">
      <c r="J406" s="1" t="s">
        <v>3228</v>
      </c>
    </row>
    <row r="407" spans="2:11" x14ac:dyDescent="0.2">
      <c r="J407" s="1" t="s">
        <v>3229</v>
      </c>
    </row>
    <row r="408" spans="2:11" x14ac:dyDescent="0.2">
      <c r="J408" s="1" t="s">
        <v>3230</v>
      </c>
    </row>
    <row r="411" spans="2:11" x14ac:dyDescent="0.2">
      <c r="F411" s="1" t="s">
        <v>3203</v>
      </c>
      <c r="G411" s="1" t="s">
        <v>2670</v>
      </c>
      <c r="I411" s="1" t="s">
        <v>3231</v>
      </c>
    </row>
    <row r="412" spans="2:11" x14ac:dyDescent="0.2">
      <c r="D412" s="449">
        <v>44926</v>
      </c>
      <c r="E412" s="449">
        <v>45291</v>
      </c>
      <c r="F412" s="449">
        <v>45536</v>
      </c>
      <c r="G412" s="449">
        <v>45657</v>
      </c>
      <c r="J412" s="1">
        <f>15</f>
        <v>15</v>
      </c>
      <c r="K412" s="1" t="s">
        <v>3232</v>
      </c>
    </row>
    <row r="413" spans="2:11" x14ac:dyDescent="0.2">
      <c r="B413" s="1" t="s">
        <v>695</v>
      </c>
      <c r="D413" s="23">
        <f>750000+90000+30000</f>
        <v>870000</v>
      </c>
      <c r="E413" s="23">
        <f>750000+90000+30000</f>
        <v>870000</v>
      </c>
      <c r="F413" s="23">
        <f>750000+90000+30000</f>
        <v>870000</v>
      </c>
      <c r="G413" s="23">
        <v>0</v>
      </c>
    </row>
    <row r="414" spans="2:11" x14ac:dyDescent="0.2">
      <c r="B414" s="1" t="s">
        <v>667</v>
      </c>
      <c r="D414" s="23">
        <f>-D417</f>
        <v>-133333.33333333334</v>
      </c>
      <c r="E414" s="23">
        <f>D414-E417</f>
        <v>-373333.33333333337</v>
      </c>
      <c r="F414" s="23">
        <f>E414-F417</f>
        <v>-506666.66666666674</v>
      </c>
      <c r="G414" s="23">
        <v>0</v>
      </c>
    </row>
    <row r="415" spans="2:11" x14ac:dyDescent="0.2">
      <c r="B415" s="1" t="s">
        <v>2040</v>
      </c>
      <c r="D415" s="253">
        <f>D413+D414</f>
        <v>736666.66666666663</v>
      </c>
      <c r="E415" s="253">
        <f>E413+E414</f>
        <v>496666.66666666663</v>
      </c>
      <c r="F415" s="253">
        <f>F413+F414</f>
        <v>363333.33333333326</v>
      </c>
      <c r="G415" s="253">
        <v>0</v>
      </c>
    </row>
    <row r="416" spans="2:11" x14ac:dyDescent="0.2">
      <c r="D416" s="23"/>
      <c r="E416" s="23"/>
      <c r="F416" s="23"/>
      <c r="G416" s="23"/>
    </row>
    <row r="417" spans="1:11" x14ac:dyDescent="0.2">
      <c r="B417" s="1" t="s">
        <v>712</v>
      </c>
      <c r="D417" s="23">
        <f>(870000-70000)*(5*(6/12))/15</f>
        <v>133333.33333333334</v>
      </c>
      <c r="E417" s="23">
        <f>(870000-70000)*(5*(6/12)+4*(6/12))/15</f>
        <v>240000</v>
      </c>
      <c r="F417" s="23">
        <f>(870000-70000)*(4*(6/12)+3*(2/12))/15</f>
        <v>133333.33333333334</v>
      </c>
      <c r="G417" s="23">
        <f>F417</f>
        <v>133333.33333333334</v>
      </c>
    </row>
    <row r="418" spans="1:11" x14ac:dyDescent="0.2">
      <c r="D418" s="23"/>
      <c r="E418" s="23"/>
      <c r="F418" s="23"/>
      <c r="G418" s="23"/>
    </row>
    <row r="419" spans="1:11" x14ac:dyDescent="0.2">
      <c r="B419" s="1" t="s">
        <v>760</v>
      </c>
      <c r="D419" s="23"/>
      <c r="E419" s="23"/>
      <c r="F419" s="23"/>
      <c r="G419" s="23">
        <f>430000-F415</f>
        <v>66666.666666666744</v>
      </c>
      <c r="I419" s="1" t="s">
        <v>3233</v>
      </c>
    </row>
    <row r="421" spans="1:11" x14ac:dyDescent="0.2">
      <c r="A421" s="546" t="s">
        <v>3235</v>
      </c>
      <c r="B421" s="545"/>
      <c r="C421" s="545"/>
      <c r="D421" s="545"/>
      <c r="E421" s="545"/>
      <c r="F421" s="545"/>
      <c r="G421" s="545"/>
      <c r="H421" s="545"/>
    </row>
    <row r="424" spans="1:11" x14ac:dyDescent="0.2">
      <c r="I424" s="1" t="s">
        <v>3221</v>
      </c>
    </row>
    <row r="425" spans="1:11" x14ac:dyDescent="0.2">
      <c r="I425" s="1" t="s">
        <v>3222</v>
      </c>
    </row>
    <row r="426" spans="1:11" x14ac:dyDescent="0.2">
      <c r="K426" s="1" t="s">
        <v>3223</v>
      </c>
    </row>
    <row r="427" spans="1:11" x14ac:dyDescent="0.2">
      <c r="I427" s="1" t="s">
        <v>3224</v>
      </c>
    </row>
    <row r="428" spans="1:11" x14ac:dyDescent="0.2">
      <c r="I428" s="1" t="s">
        <v>3225</v>
      </c>
    </row>
    <row r="429" spans="1:11" x14ac:dyDescent="0.2">
      <c r="I429" s="1" t="s">
        <v>3226</v>
      </c>
    </row>
    <row r="430" spans="1:11" x14ac:dyDescent="0.2">
      <c r="I430" s="1" t="s">
        <v>3227</v>
      </c>
    </row>
    <row r="431" spans="1:11" x14ac:dyDescent="0.2">
      <c r="J431" s="1" t="s">
        <v>3228</v>
      </c>
    </row>
    <row r="432" spans="1:11" x14ac:dyDescent="0.2">
      <c r="J432" s="1" t="s">
        <v>3229</v>
      </c>
    </row>
    <row r="433" spans="3:12" x14ac:dyDescent="0.2">
      <c r="J433" s="1" t="s">
        <v>3230</v>
      </c>
    </row>
    <row r="440" spans="3:12" x14ac:dyDescent="0.2">
      <c r="D440" s="6"/>
      <c r="E440" s="6"/>
      <c r="F440" s="6" t="s">
        <v>3203</v>
      </c>
      <c r="G440" s="6"/>
      <c r="J440" s="1" t="s">
        <v>3238</v>
      </c>
    </row>
    <row r="441" spans="3:12" x14ac:dyDescent="0.2">
      <c r="D441" s="86">
        <v>44926</v>
      </c>
      <c r="E441" s="86">
        <v>45291</v>
      </c>
      <c r="F441" s="86">
        <v>45597</v>
      </c>
      <c r="G441" s="86">
        <v>45657</v>
      </c>
      <c r="J441" s="1" t="s">
        <v>3239</v>
      </c>
    </row>
    <row r="442" spans="3:12" x14ac:dyDescent="0.2">
      <c r="C442" s="1" t="s">
        <v>3236</v>
      </c>
      <c r="D442" s="44">
        <f>800000+140000+50000+40000</f>
        <v>1030000</v>
      </c>
      <c r="E442" s="44">
        <f>D442</f>
        <v>1030000</v>
      </c>
      <c r="F442" s="44">
        <f>E442</f>
        <v>1030000</v>
      </c>
      <c r="G442" s="44">
        <v>0</v>
      </c>
      <c r="J442" s="1" t="s">
        <v>3240</v>
      </c>
    </row>
    <row r="443" spans="3:12" x14ac:dyDescent="0.2">
      <c r="C443" s="1" t="s">
        <v>2397</v>
      </c>
      <c r="D443" s="44">
        <f>-D446</f>
        <v>-57222.222222222219</v>
      </c>
      <c r="E443" s="44">
        <f>D443-E446</f>
        <v>-221736.11111111109</v>
      </c>
      <c r="F443" s="44">
        <f>E443-F446</f>
        <v>-343333.33333333331</v>
      </c>
      <c r="G443" s="44">
        <v>0</v>
      </c>
      <c r="J443" s="1" t="s">
        <v>3241</v>
      </c>
    </row>
    <row r="444" spans="3:12" x14ac:dyDescent="0.2">
      <c r="C444" s="1" t="s">
        <v>3237</v>
      </c>
      <c r="D444" s="134">
        <f>D442+D443</f>
        <v>972777.77777777775</v>
      </c>
      <c r="E444" s="134">
        <f>E442+E443</f>
        <v>808263.88888888888</v>
      </c>
      <c r="F444" s="134">
        <f>F442+F443</f>
        <v>686666.66666666674</v>
      </c>
      <c r="G444" s="134">
        <v>0</v>
      </c>
      <c r="J444" s="1" t="s">
        <v>3242</v>
      </c>
    </row>
    <row r="445" spans="3:12" x14ac:dyDescent="0.2">
      <c r="D445" s="44"/>
      <c r="E445" s="44"/>
      <c r="F445" s="44"/>
      <c r="G445" s="44"/>
    </row>
    <row r="446" spans="3:12" x14ac:dyDescent="0.2">
      <c r="C446" s="1" t="s">
        <v>2706</v>
      </c>
      <c r="D446" s="44">
        <f>(1030000-25%*1030000)*(8*(4/12))/36</f>
        <v>57222.222222222219</v>
      </c>
      <c r="E446" s="44">
        <f>(1030000-25%*1030000)*(8*(8/12)+7*(4/12))/36</f>
        <v>164513.88888888888</v>
      </c>
      <c r="F446" s="44">
        <f>(1030000-25%*1030000)*(7*(8/12)+6*(2/12))/36</f>
        <v>121597.22222222222</v>
      </c>
      <c r="G446" s="44">
        <f>F446</f>
        <v>121597.22222222222</v>
      </c>
      <c r="J446" s="1" t="s">
        <v>952</v>
      </c>
      <c r="K446" s="1">
        <v>36</v>
      </c>
      <c r="L446" s="1" t="s">
        <v>3243</v>
      </c>
    </row>
    <row r="447" spans="3:12" x14ac:dyDescent="0.2">
      <c r="D447" s="44"/>
      <c r="E447" s="44"/>
      <c r="F447" s="44"/>
      <c r="G447" s="44"/>
    </row>
    <row r="448" spans="3:12" x14ac:dyDescent="0.2">
      <c r="C448" s="1" t="s">
        <v>748</v>
      </c>
      <c r="D448" s="44"/>
      <c r="E448" s="44"/>
      <c r="F448" s="44"/>
      <c r="G448" s="44">
        <f>686667*(1-30%)-686667</f>
        <v>-206000.10000000003</v>
      </c>
    </row>
  </sheetData>
  <mergeCells count="4">
    <mergeCell ref="A1:H1"/>
    <mergeCell ref="F293:G293"/>
    <mergeCell ref="F294:G294"/>
    <mergeCell ref="A337:A338"/>
  </mergeCells>
  <pageMargins left="0.7" right="0.7" top="0.75" bottom="0.75" header="0.3" footer="0.3"/>
  <ignoredErrors>
    <ignoredError sqref="B156:F156" formulaRange="1"/>
  </ignoredErrors>
  <drawing r:id="rId1"/>
</worksheet>
</file>

<file path=xl/worksheets/sheet1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ABB6BDD-D9A9-FF49-832C-0F1825463D0E}">
  <dimension ref="A1:J610"/>
  <sheetViews>
    <sheetView rightToLeft="1" zoomScale="216" zoomScaleNormal="400" workbookViewId="0">
      <selection activeCell="D556" sqref="D556"/>
    </sheetView>
  </sheetViews>
  <sheetFormatPr baseColWidth="10" defaultRowHeight="16" x14ac:dyDescent="0.2"/>
  <cols>
    <col min="1" max="1" width="32" style="1" customWidth="1"/>
    <col min="2" max="2" width="10.83203125" style="1"/>
    <col min="3" max="7" width="10.83203125" style="6"/>
    <col min="8" max="16384" width="10.83203125" style="1"/>
  </cols>
  <sheetData>
    <row r="1" spans="1:8" x14ac:dyDescent="0.2">
      <c r="A1" s="616" t="s">
        <v>3244</v>
      </c>
      <c r="B1" s="616"/>
      <c r="C1" s="616"/>
      <c r="D1" s="616"/>
      <c r="E1" s="616"/>
      <c r="F1" s="616"/>
      <c r="G1" s="616"/>
      <c r="H1" s="616"/>
    </row>
    <row r="2" spans="1:8" ht="17" thickBot="1" x14ac:dyDescent="0.25">
      <c r="G2" s="145"/>
    </row>
    <row r="3" spans="1:8" x14ac:dyDescent="0.2">
      <c r="A3" s="180" t="s">
        <v>963</v>
      </c>
      <c r="B3" s="413"/>
      <c r="C3" s="465"/>
      <c r="D3" s="465"/>
      <c r="E3" s="465"/>
      <c r="F3" s="465"/>
      <c r="G3" s="465"/>
      <c r="H3" s="414"/>
    </row>
    <row r="4" spans="1:8" ht="17" thickBot="1" x14ac:dyDescent="0.25">
      <c r="A4" s="153" t="s">
        <v>964</v>
      </c>
      <c r="B4" s="154"/>
      <c r="C4" s="164"/>
      <c r="D4" s="164"/>
      <c r="E4" s="164"/>
      <c r="F4" s="164"/>
      <c r="G4" s="164"/>
      <c r="H4" s="155"/>
    </row>
    <row r="5" spans="1:8" ht="17" thickBot="1" x14ac:dyDescent="0.25"/>
    <row r="6" spans="1:8" x14ac:dyDescent="0.2">
      <c r="A6" s="180" t="s">
        <v>965</v>
      </c>
      <c r="B6" s="413"/>
      <c r="C6" s="465"/>
      <c r="D6" s="465"/>
      <c r="E6" s="465"/>
      <c r="F6" s="465"/>
      <c r="G6" s="465"/>
      <c r="H6" s="414"/>
    </row>
    <row r="7" spans="1:8" ht="17" thickBot="1" x14ac:dyDescent="0.25">
      <c r="A7" s="153" t="s">
        <v>966</v>
      </c>
      <c r="B7" s="154"/>
      <c r="C7" s="164"/>
      <c r="D7" s="164"/>
      <c r="E7" s="164"/>
      <c r="F7" s="164"/>
      <c r="G7" s="164"/>
      <c r="H7" s="155"/>
    </row>
    <row r="9" spans="1:8" ht="17" thickBot="1" x14ac:dyDescent="0.25">
      <c r="A9" s="2" t="s">
        <v>967</v>
      </c>
      <c r="B9" s="2"/>
      <c r="C9" s="150"/>
    </row>
    <row r="10" spans="1:8" x14ac:dyDescent="0.2">
      <c r="A10" s="18" t="s">
        <v>968</v>
      </c>
      <c r="B10" s="100"/>
      <c r="C10" s="179"/>
      <c r="D10" s="179"/>
      <c r="E10" s="179"/>
      <c r="F10" s="179"/>
      <c r="G10" s="179"/>
      <c r="H10" s="19"/>
    </row>
    <row r="11" spans="1:8" x14ac:dyDescent="0.2">
      <c r="A11" s="106" t="s">
        <v>1086</v>
      </c>
      <c r="H11" s="107"/>
    </row>
    <row r="12" spans="1:8" x14ac:dyDescent="0.2">
      <c r="A12" s="106" t="s">
        <v>2747</v>
      </c>
      <c r="H12" s="107"/>
    </row>
    <row r="13" spans="1:8" ht="17" thickBot="1" x14ac:dyDescent="0.25">
      <c r="A13" s="20" t="s">
        <v>1087</v>
      </c>
      <c r="B13" s="103"/>
      <c r="C13" s="158"/>
      <c r="D13" s="158"/>
      <c r="E13" s="158"/>
      <c r="F13" s="158"/>
      <c r="G13" s="158"/>
      <c r="H13" s="21"/>
    </row>
    <row r="14" spans="1:8" ht="17" thickBot="1" x14ac:dyDescent="0.25"/>
    <row r="15" spans="1:8" x14ac:dyDescent="0.2">
      <c r="A15" s="18" t="s">
        <v>2748</v>
      </c>
      <c r="B15" s="100"/>
      <c r="C15" s="179"/>
      <c r="D15" s="179"/>
      <c r="E15" s="179"/>
      <c r="F15" s="179"/>
      <c r="G15" s="179"/>
      <c r="H15" s="19"/>
    </row>
    <row r="16" spans="1:8" x14ac:dyDescent="0.2">
      <c r="A16" s="106" t="s">
        <v>1088</v>
      </c>
      <c r="H16" s="107"/>
    </row>
    <row r="17" spans="1:9" ht="17" thickBot="1" x14ac:dyDescent="0.25">
      <c r="A17" s="20" t="s">
        <v>1089</v>
      </c>
      <c r="B17" s="103"/>
      <c r="C17" s="158"/>
      <c r="D17" s="158"/>
      <c r="E17" s="158"/>
      <c r="F17" s="158"/>
      <c r="G17" s="158"/>
      <c r="H17" s="21"/>
      <c r="I17" s="1" t="s">
        <v>1090</v>
      </c>
    </row>
    <row r="18" spans="1:9" ht="17" thickBot="1" x14ac:dyDescent="0.25">
      <c r="I18" s="1" t="s">
        <v>1091</v>
      </c>
    </row>
    <row r="19" spans="1:9" x14ac:dyDescent="0.2">
      <c r="A19" s="18" t="s">
        <v>969</v>
      </c>
      <c r="B19" s="100"/>
      <c r="C19" s="179"/>
      <c r="D19" s="179"/>
      <c r="E19" s="179"/>
      <c r="F19" s="179"/>
      <c r="G19" s="179"/>
      <c r="H19" s="19"/>
      <c r="I19" s="1" t="s">
        <v>1092</v>
      </c>
    </row>
    <row r="20" spans="1:9" ht="17" thickBot="1" x14ac:dyDescent="0.25">
      <c r="A20" s="20" t="s">
        <v>970</v>
      </c>
      <c r="B20" s="103"/>
      <c r="C20" s="158"/>
      <c r="D20" s="158"/>
      <c r="E20" s="158"/>
      <c r="F20" s="158"/>
      <c r="G20" s="158"/>
      <c r="H20" s="21"/>
    </row>
    <row r="21" spans="1:9" ht="17" thickBot="1" x14ac:dyDescent="0.25"/>
    <row r="22" spans="1:9" x14ac:dyDescent="0.2">
      <c r="A22" s="159" t="s">
        <v>991</v>
      </c>
      <c r="B22" s="160"/>
      <c r="C22" s="163"/>
      <c r="D22" s="163"/>
      <c r="E22" s="163"/>
      <c r="F22" s="163"/>
      <c r="G22" s="163"/>
      <c r="H22" s="161"/>
    </row>
    <row r="23" spans="1:9" x14ac:dyDescent="0.2">
      <c r="A23" s="151" t="s">
        <v>992</v>
      </c>
      <c r="B23" s="2"/>
      <c r="C23" s="150"/>
      <c r="D23" s="150"/>
      <c r="E23" s="150"/>
      <c r="F23" s="150"/>
      <c r="G23" s="150"/>
      <c r="H23" s="152"/>
    </row>
    <row r="24" spans="1:9" x14ac:dyDescent="0.2">
      <c r="A24" s="151" t="s">
        <v>993</v>
      </c>
      <c r="B24" s="2"/>
      <c r="C24" s="150"/>
      <c r="D24" s="150"/>
      <c r="E24" s="150"/>
      <c r="F24" s="150"/>
      <c r="G24" s="150"/>
      <c r="H24" s="152"/>
    </row>
    <row r="25" spans="1:9" x14ac:dyDescent="0.2">
      <c r="A25" s="151" t="s">
        <v>994</v>
      </c>
      <c r="B25" s="2"/>
      <c r="C25" s="150"/>
      <c r="D25" s="150"/>
      <c r="E25" s="150"/>
      <c r="F25" s="150"/>
      <c r="G25" s="150"/>
      <c r="H25" s="152"/>
    </row>
    <row r="26" spans="1:9" x14ac:dyDescent="0.2">
      <c r="A26" s="151"/>
      <c r="B26" s="2"/>
      <c r="C26" s="150"/>
      <c r="D26" s="150"/>
      <c r="E26" s="150"/>
      <c r="F26" s="150"/>
      <c r="G26" s="150"/>
      <c r="H26" s="152"/>
    </row>
    <row r="27" spans="1:9" x14ac:dyDescent="0.2">
      <c r="A27" s="151" t="s">
        <v>995</v>
      </c>
      <c r="B27" s="2"/>
      <c r="C27" s="150"/>
      <c r="D27" s="150"/>
      <c r="E27" s="150"/>
      <c r="F27" s="150"/>
      <c r="G27" s="150"/>
      <c r="H27" s="152"/>
    </row>
    <row r="28" spans="1:9" x14ac:dyDescent="0.2">
      <c r="A28" s="151" t="s">
        <v>996</v>
      </c>
      <c r="B28" s="2"/>
      <c r="C28" s="150"/>
      <c r="D28" s="150"/>
      <c r="E28" s="150"/>
      <c r="F28" s="150"/>
      <c r="G28" s="150"/>
      <c r="H28" s="152"/>
    </row>
    <row r="29" spans="1:9" ht="17" thickBot="1" x14ac:dyDescent="0.25">
      <c r="A29" s="153" t="s">
        <v>997</v>
      </c>
      <c r="B29" s="154"/>
      <c r="C29" s="164"/>
      <c r="D29" s="164"/>
      <c r="E29" s="164"/>
      <c r="F29" s="164"/>
      <c r="G29" s="164"/>
      <c r="H29" s="155"/>
    </row>
    <row r="31" spans="1:9" x14ac:dyDescent="0.2">
      <c r="A31" s="85" t="s">
        <v>971</v>
      </c>
      <c r="B31" s="16"/>
      <c r="C31" s="165"/>
      <c r="D31" s="165"/>
      <c r="E31" s="165"/>
      <c r="F31" s="165"/>
      <c r="G31" s="165"/>
      <c r="H31" s="16"/>
    </row>
    <row r="33" spans="1:7" x14ac:dyDescent="0.2">
      <c r="A33" s="1" t="s">
        <v>972</v>
      </c>
    </row>
    <row r="34" spans="1:7" x14ac:dyDescent="0.2">
      <c r="A34" s="1" t="s">
        <v>973</v>
      </c>
    </row>
    <row r="35" spans="1:7" x14ac:dyDescent="0.2">
      <c r="A35" s="1" t="s">
        <v>974</v>
      </c>
    </row>
    <row r="37" spans="1:7" x14ac:dyDescent="0.2">
      <c r="A37" s="36" t="s">
        <v>14</v>
      </c>
      <c r="B37" s="36" t="s">
        <v>114</v>
      </c>
    </row>
    <row r="38" spans="1:7" x14ac:dyDescent="0.2">
      <c r="A38" s="6" t="s">
        <v>140</v>
      </c>
      <c r="B38" s="6">
        <v>100</v>
      </c>
      <c r="C38" s="15"/>
      <c r="D38" s="317"/>
      <c r="E38" s="317"/>
      <c r="F38" s="317"/>
      <c r="G38" s="317"/>
    </row>
    <row r="39" spans="1:7" s="13" customFormat="1" x14ac:dyDescent="0.2">
      <c r="A39" s="15" t="s">
        <v>19</v>
      </c>
      <c r="B39" s="15">
        <v>50</v>
      </c>
      <c r="C39" s="15"/>
      <c r="D39" s="15"/>
      <c r="E39" s="15"/>
      <c r="F39" s="15"/>
      <c r="G39" s="15"/>
    </row>
    <row r="40" spans="1:7" s="13" customFormat="1" x14ac:dyDescent="0.2">
      <c r="A40" s="15" t="s">
        <v>75</v>
      </c>
      <c r="B40" s="15">
        <v>400</v>
      </c>
      <c r="C40" s="15"/>
      <c r="D40" s="15"/>
      <c r="E40" s="15"/>
      <c r="F40" s="15"/>
      <c r="G40" s="15"/>
    </row>
    <row r="41" spans="1:7" s="13" customFormat="1" ht="34" x14ac:dyDescent="0.2">
      <c r="A41" s="318" t="s">
        <v>975</v>
      </c>
      <c r="B41" s="15">
        <v>300</v>
      </c>
      <c r="C41" s="15"/>
      <c r="D41" s="15"/>
      <c r="E41" s="15"/>
      <c r="F41" s="15"/>
      <c r="G41" s="15"/>
    </row>
    <row r="42" spans="1:7" s="13" customFormat="1" x14ac:dyDescent="0.2">
      <c r="A42" s="15" t="s">
        <v>21</v>
      </c>
      <c r="B42" s="15">
        <v>70</v>
      </c>
      <c r="C42" s="15"/>
      <c r="D42" s="15"/>
      <c r="E42" s="15"/>
      <c r="F42" s="15"/>
      <c r="G42" s="15"/>
    </row>
    <row r="43" spans="1:7" s="13" customFormat="1" ht="34" x14ac:dyDescent="0.2">
      <c r="A43" s="318" t="s">
        <v>976</v>
      </c>
      <c r="B43" s="15">
        <v>200</v>
      </c>
      <c r="C43" s="15"/>
      <c r="D43" s="15"/>
      <c r="E43" s="15"/>
      <c r="F43" s="15"/>
      <c r="G43" s="15"/>
    </row>
    <row r="44" spans="1:7" s="13" customFormat="1" ht="34" x14ac:dyDescent="0.2">
      <c r="A44" s="318" t="s">
        <v>977</v>
      </c>
      <c r="B44" s="15">
        <v>100</v>
      </c>
      <c r="C44" s="15"/>
      <c r="D44" s="15"/>
      <c r="E44" s="15"/>
      <c r="F44" s="15"/>
      <c r="G44" s="15"/>
    </row>
    <row r="45" spans="1:7" s="13" customFormat="1" x14ac:dyDescent="0.2">
      <c r="A45" s="15" t="s">
        <v>29</v>
      </c>
      <c r="B45" s="15">
        <v>30</v>
      </c>
      <c r="C45" s="15"/>
      <c r="D45" s="15"/>
      <c r="E45" s="15"/>
      <c r="F45" s="15"/>
      <c r="G45" s="15"/>
    </row>
    <row r="46" spans="1:7" s="13" customFormat="1" x14ac:dyDescent="0.2">
      <c r="A46" s="15" t="s">
        <v>268</v>
      </c>
      <c r="B46" s="15">
        <v>220</v>
      </c>
      <c r="C46" s="15"/>
      <c r="D46" s="15"/>
      <c r="E46" s="15"/>
      <c r="F46" s="15"/>
      <c r="G46" s="15"/>
    </row>
    <row r="47" spans="1:7" s="13" customFormat="1" x14ac:dyDescent="0.2">
      <c r="A47" s="15" t="s">
        <v>88</v>
      </c>
      <c r="B47" s="15">
        <v>30</v>
      </c>
      <c r="C47" s="15"/>
      <c r="D47" s="15"/>
      <c r="E47" s="15"/>
      <c r="F47" s="15"/>
      <c r="G47" s="15"/>
    </row>
    <row r="48" spans="1:7" x14ac:dyDescent="0.2">
      <c r="A48" s="6" t="s">
        <v>1933</v>
      </c>
      <c r="B48" s="6" t="s">
        <v>31</v>
      </c>
      <c r="C48" s="317"/>
      <c r="D48" s="317"/>
      <c r="E48" s="51"/>
      <c r="F48" s="317"/>
      <c r="G48" s="317"/>
    </row>
    <row r="49" spans="1:9" ht="34" x14ac:dyDescent="0.2">
      <c r="A49" s="162" t="s">
        <v>1934</v>
      </c>
      <c r="B49" s="6" t="s">
        <v>31</v>
      </c>
      <c r="C49" s="395"/>
      <c r="D49" s="317"/>
      <c r="E49" s="317"/>
      <c r="F49" s="317"/>
      <c r="G49" s="317"/>
    </row>
    <row r="50" spans="1:9" ht="52" customHeight="1" x14ac:dyDescent="0.2">
      <c r="A50" s="162" t="s">
        <v>1939</v>
      </c>
      <c r="B50" s="6" t="s">
        <v>31</v>
      </c>
      <c r="C50" s="395"/>
      <c r="D50" s="317"/>
      <c r="E50" s="317"/>
      <c r="F50" s="317"/>
      <c r="G50" s="317"/>
      <c r="I50" s="30"/>
    </row>
    <row r="51" spans="1:9" ht="34" x14ac:dyDescent="0.2">
      <c r="A51" s="162" t="s">
        <v>979</v>
      </c>
      <c r="B51" s="6">
        <v>14</v>
      </c>
      <c r="C51" s="317"/>
      <c r="D51" s="317"/>
      <c r="E51" s="317"/>
      <c r="F51" s="317"/>
      <c r="G51" s="15"/>
    </row>
    <row r="52" spans="1:9" ht="34" x14ac:dyDescent="0.2">
      <c r="A52" s="162" t="s">
        <v>1013</v>
      </c>
      <c r="B52" s="6">
        <v>15</v>
      </c>
      <c r="C52" s="317"/>
      <c r="D52" s="317"/>
      <c r="E52" s="317"/>
      <c r="F52" s="15"/>
      <c r="G52" s="317"/>
    </row>
    <row r="53" spans="1:9" s="13" customFormat="1" ht="34" x14ac:dyDescent="0.2">
      <c r="A53" s="318" t="s">
        <v>980</v>
      </c>
      <c r="B53" s="15">
        <v>1000</v>
      </c>
      <c r="C53" s="15"/>
      <c r="D53" s="15"/>
      <c r="E53" s="15"/>
      <c r="F53" s="15"/>
      <c r="G53" s="15"/>
    </row>
    <row r="54" spans="1:9" s="13" customFormat="1" ht="34" x14ac:dyDescent="0.2">
      <c r="A54" s="318" t="s">
        <v>981</v>
      </c>
      <c r="B54" s="15">
        <v>450</v>
      </c>
      <c r="C54" s="15"/>
      <c r="D54" s="15"/>
      <c r="E54" s="15"/>
      <c r="F54" s="15"/>
      <c r="G54" s="15"/>
    </row>
    <row r="55" spans="1:9" s="13" customFormat="1" x14ac:dyDescent="0.2">
      <c r="A55" s="15" t="s">
        <v>24</v>
      </c>
      <c r="B55" s="15">
        <v>250</v>
      </c>
      <c r="C55" s="15"/>
      <c r="D55" s="15"/>
      <c r="E55" s="15"/>
      <c r="F55" s="15"/>
      <c r="G55" s="15"/>
    </row>
    <row r="56" spans="1:9" s="13" customFormat="1" ht="34" x14ac:dyDescent="0.2">
      <c r="A56" s="318" t="s">
        <v>982</v>
      </c>
      <c r="B56" s="15">
        <v>10</v>
      </c>
      <c r="C56" s="15"/>
      <c r="D56" s="15"/>
      <c r="E56" s="15"/>
      <c r="F56" s="15"/>
      <c r="G56" s="15"/>
    </row>
    <row r="57" spans="1:9" s="13" customFormat="1" ht="34" x14ac:dyDescent="0.2">
      <c r="A57" s="318" t="s">
        <v>983</v>
      </c>
      <c r="B57" s="15">
        <v>12</v>
      </c>
      <c r="C57" s="15"/>
      <c r="D57" s="15"/>
      <c r="E57" s="15"/>
      <c r="F57" s="15"/>
      <c r="G57" s="15"/>
    </row>
    <row r="58" spans="1:9" s="13" customFormat="1" ht="34" x14ac:dyDescent="0.2">
      <c r="A58" s="318" t="s">
        <v>984</v>
      </c>
      <c r="B58" s="15">
        <v>17</v>
      </c>
      <c r="C58" s="15"/>
      <c r="D58" s="15"/>
      <c r="E58" s="15"/>
      <c r="F58" s="15"/>
      <c r="G58" s="15"/>
    </row>
    <row r="59" spans="1:9" s="13" customFormat="1" ht="34" x14ac:dyDescent="0.2">
      <c r="A59" s="318" t="s">
        <v>985</v>
      </c>
      <c r="B59" s="15">
        <v>80</v>
      </c>
      <c r="C59" s="15"/>
      <c r="D59" s="15"/>
      <c r="E59" s="15"/>
      <c r="F59" s="15"/>
      <c r="G59" s="15"/>
    </row>
    <row r="60" spans="1:9" s="13" customFormat="1" ht="34" x14ac:dyDescent="0.2">
      <c r="A60" s="318" t="s">
        <v>986</v>
      </c>
      <c r="B60" s="15">
        <v>11</v>
      </c>
      <c r="C60" s="15"/>
      <c r="D60" s="15"/>
      <c r="E60" s="15"/>
      <c r="F60" s="15"/>
      <c r="G60" s="15"/>
    </row>
    <row r="61" spans="1:9" s="13" customFormat="1" ht="34" x14ac:dyDescent="0.2">
      <c r="A61" s="318" t="s">
        <v>987</v>
      </c>
      <c r="B61" s="15">
        <v>7</v>
      </c>
      <c r="C61" s="15"/>
      <c r="D61" s="15"/>
      <c r="E61" s="15"/>
      <c r="F61" s="15"/>
      <c r="G61" s="15"/>
    </row>
    <row r="62" spans="1:9" s="13" customFormat="1" ht="34" x14ac:dyDescent="0.2">
      <c r="A62" s="318" t="s">
        <v>988</v>
      </c>
      <c r="B62" s="15">
        <v>9</v>
      </c>
      <c r="C62" s="15"/>
      <c r="D62" s="15"/>
      <c r="E62" s="15"/>
      <c r="F62" s="15"/>
      <c r="G62" s="15"/>
    </row>
    <row r="63" spans="1:9" s="13" customFormat="1" ht="34" x14ac:dyDescent="0.2">
      <c r="A63" s="318" t="s">
        <v>989</v>
      </c>
      <c r="B63" s="15">
        <v>5</v>
      </c>
      <c r="C63" s="15"/>
      <c r="D63" s="15"/>
      <c r="E63" s="15"/>
      <c r="F63" s="15"/>
      <c r="G63" s="15"/>
    </row>
    <row r="64" spans="1:9" s="13" customFormat="1" ht="34" x14ac:dyDescent="0.2">
      <c r="A64" s="318" t="s">
        <v>990</v>
      </c>
      <c r="B64" s="15">
        <v>12</v>
      </c>
      <c r="C64" s="15"/>
      <c r="D64" s="15"/>
      <c r="E64" s="15"/>
      <c r="F64" s="15"/>
      <c r="G64" s="15"/>
    </row>
    <row r="65" spans="1:7" s="13" customFormat="1" ht="51" x14ac:dyDescent="0.2">
      <c r="A65" s="318" t="s">
        <v>1935</v>
      </c>
      <c r="B65" s="15">
        <v>8</v>
      </c>
      <c r="C65" s="15"/>
      <c r="D65" s="15"/>
      <c r="E65" s="15"/>
      <c r="F65" s="15"/>
      <c r="G65" s="15"/>
    </row>
    <row r="66" spans="1:7" ht="51" x14ac:dyDescent="0.2">
      <c r="A66" s="162" t="s">
        <v>1936</v>
      </c>
      <c r="B66" s="6" t="s">
        <v>31</v>
      </c>
      <c r="C66" s="395"/>
      <c r="D66" s="317"/>
      <c r="E66" s="317"/>
      <c r="F66" s="317"/>
      <c r="G66" s="317"/>
    </row>
    <row r="67" spans="1:7" ht="52" thickBot="1" x14ac:dyDescent="0.25">
      <c r="A67" s="162" t="s">
        <v>1937</v>
      </c>
      <c r="B67" s="6" t="s">
        <v>31</v>
      </c>
      <c r="C67" s="317"/>
      <c r="D67" s="317"/>
      <c r="E67" s="317"/>
      <c r="F67" s="317"/>
      <c r="G67" s="395"/>
    </row>
    <row r="68" spans="1:7" ht="18" thickBot="1" x14ac:dyDescent="0.25">
      <c r="A68" s="162" t="s">
        <v>281</v>
      </c>
      <c r="B68" s="172"/>
      <c r="C68" s="15"/>
      <c r="D68" s="15"/>
      <c r="E68" s="15"/>
      <c r="F68" s="15"/>
      <c r="G68" s="15"/>
    </row>
    <row r="69" spans="1:7" x14ac:dyDescent="0.2">
      <c r="A69" s="162"/>
      <c r="B69" s="6"/>
    </row>
    <row r="70" spans="1:7" x14ac:dyDescent="0.2">
      <c r="A70" s="1" t="s">
        <v>998</v>
      </c>
    </row>
    <row r="71" spans="1:7" x14ac:dyDescent="0.2">
      <c r="A71" s="1" t="s">
        <v>284</v>
      </c>
      <c r="B71" s="1" t="s">
        <v>999</v>
      </c>
    </row>
    <row r="72" spans="1:7" x14ac:dyDescent="0.2">
      <c r="B72" s="1" t="s">
        <v>1000</v>
      </c>
    </row>
    <row r="73" spans="1:7" x14ac:dyDescent="0.2">
      <c r="B73" s="1" t="s">
        <v>1001</v>
      </c>
    </row>
    <row r="74" spans="1:7" x14ac:dyDescent="0.2">
      <c r="B74" s="1" t="s">
        <v>1002</v>
      </c>
    </row>
    <row r="76" spans="1:7" x14ac:dyDescent="0.2">
      <c r="A76" s="1" t="s">
        <v>285</v>
      </c>
      <c r="B76" s="1" t="s">
        <v>1003</v>
      </c>
    </row>
    <row r="77" spans="1:7" x14ac:dyDescent="0.2">
      <c r="B77" s="1" t="s">
        <v>1004</v>
      </c>
    </row>
    <row r="78" spans="1:7" x14ac:dyDescent="0.2">
      <c r="B78" s="1" t="s">
        <v>2751</v>
      </c>
    </row>
    <row r="79" spans="1:7" x14ac:dyDescent="0.2">
      <c r="B79" s="2" t="s">
        <v>2750</v>
      </c>
    </row>
    <row r="81" spans="1:6" x14ac:dyDescent="0.2">
      <c r="A81" s="1" t="s">
        <v>288</v>
      </c>
      <c r="B81" s="1" t="s">
        <v>1006</v>
      </c>
    </row>
    <row r="82" spans="1:6" x14ac:dyDescent="0.2">
      <c r="B82" s="1" t="s">
        <v>1007</v>
      </c>
    </row>
    <row r="84" spans="1:6" x14ac:dyDescent="0.2">
      <c r="A84" s="1" t="s">
        <v>289</v>
      </c>
      <c r="B84" s="1" t="s">
        <v>1008</v>
      </c>
    </row>
    <row r="85" spans="1:6" x14ac:dyDescent="0.2">
      <c r="B85" s="1" t="s">
        <v>1009</v>
      </c>
    </row>
    <row r="86" spans="1:6" x14ac:dyDescent="0.2">
      <c r="B86" s="1" t="s">
        <v>1010</v>
      </c>
    </row>
    <row r="88" spans="1:6" x14ac:dyDescent="0.2">
      <c r="A88" s="1" t="s">
        <v>1011</v>
      </c>
    </row>
    <row r="89" spans="1:6" x14ac:dyDescent="0.2">
      <c r="A89" s="1" t="s">
        <v>1012</v>
      </c>
    </row>
    <row r="91" spans="1:6" x14ac:dyDescent="0.2">
      <c r="A91" s="1" t="s">
        <v>675</v>
      </c>
    </row>
    <row r="94" spans="1:6" x14ac:dyDescent="0.2">
      <c r="A94" s="6" t="s">
        <v>3274</v>
      </c>
      <c r="B94" s="6" t="s">
        <v>3266</v>
      </c>
      <c r="D94" s="6" t="s">
        <v>3256</v>
      </c>
      <c r="F94" s="6" t="s">
        <v>3253</v>
      </c>
    </row>
    <row r="95" spans="1:6" x14ac:dyDescent="0.2">
      <c r="A95" s="6" t="s">
        <v>3275</v>
      </c>
      <c r="B95" s="6" t="s">
        <v>3267</v>
      </c>
      <c r="D95" s="6" t="s">
        <v>3257</v>
      </c>
      <c r="F95" s="6" t="s">
        <v>3254</v>
      </c>
    </row>
    <row r="96" spans="1:6" x14ac:dyDescent="0.2">
      <c r="A96" s="6" t="s">
        <v>3276</v>
      </c>
      <c r="B96" s="6" t="s">
        <v>2903</v>
      </c>
      <c r="D96" s="6" t="s">
        <v>3258</v>
      </c>
      <c r="F96" s="6" t="s">
        <v>1639</v>
      </c>
    </row>
    <row r="97" spans="1:8" x14ac:dyDescent="0.2">
      <c r="A97" s="6" t="s">
        <v>3277</v>
      </c>
      <c r="D97" s="6" t="s">
        <v>3259</v>
      </c>
      <c r="F97" s="6" t="s">
        <v>3255</v>
      </c>
    </row>
    <row r="101" spans="1:8" x14ac:dyDescent="0.2">
      <c r="B101" s="6" t="s">
        <v>3268</v>
      </c>
      <c r="D101" s="6" t="s">
        <v>3260</v>
      </c>
    </row>
    <row r="102" spans="1:8" x14ac:dyDescent="0.2">
      <c r="B102" s="6" t="s">
        <v>2837</v>
      </c>
      <c r="D102" s="6" t="s">
        <v>3261</v>
      </c>
    </row>
    <row r="103" spans="1:8" x14ac:dyDescent="0.2">
      <c r="B103" s="6" t="s">
        <v>3269</v>
      </c>
      <c r="D103" s="150" t="s">
        <v>3262</v>
      </c>
    </row>
    <row r="104" spans="1:8" x14ac:dyDescent="0.2">
      <c r="B104" s="6" t="s">
        <v>3270</v>
      </c>
      <c r="D104" s="6" t="s">
        <v>3263</v>
      </c>
    </row>
    <row r="105" spans="1:8" x14ac:dyDescent="0.2">
      <c r="B105" s="6" t="s">
        <v>3271</v>
      </c>
      <c r="D105" s="6" t="s">
        <v>3264</v>
      </c>
    </row>
    <row r="106" spans="1:8" x14ac:dyDescent="0.2">
      <c r="A106" s="6" t="s">
        <v>3278</v>
      </c>
      <c r="B106" s="6" t="s">
        <v>3272</v>
      </c>
      <c r="D106" s="6" t="s">
        <v>3265</v>
      </c>
    </row>
    <row r="107" spans="1:8" x14ac:dyDescent="0.2">
      <c r="B107" s="6" t="s">
        <v>3273</v>
      </c>
    </row>
    <row r="109" spans="1:8" x14ac:dyDescent="0.2">
      <c r="A109" s="110" t="s">
        <v>2749</v>
      </c>
      <c r="B109" s="8"/>
      <c r="C109" s="46"/>
      <c r="D109" s="46"/>
      <c r="E109" s="46"/>
      <c r="F109" s="46"/>
      <c r="G109" s="46"/>
      <c r="H109" s="8"/>
    </row>
    <row r="111" spans="1:8" x14ac:dyDescent="0.2">
      <c r="A111" s="36" t="s">
        <v>14</v>
      </c>
      <c r="B111" s="36" t="s">
        <v>114</v>
      </c>
      <c r="C111" s="36" t="s">
        <v>11</v>
      </c>
      <c r="D111" s="36" t="s">
        <v>12</v>
      </c>
      <c r="E111" s="36" t="s">
        <v>131</v>
      </c>
      <c r="F111" s="36" t="s">
        <v>9</v>
      </c>
      <c r="G111" s="36" t="s">
        <v>10</v>
      </c>
    </row>
    <row r="112" spans="1:8" s="13" customFormat="1" x14ac:dyDescent="0.2">
      <c r="A112" s="15" t="s">
        <v>140</v>
      </c>
      <c r="B112" s="15">
        <v>100</v>
      </c>
      <c r="C112" s="15">
        <f>B112</f>
        <v>100</v>
      </c>
      <c r="D112" s="15"/>
      <c r="E112" s="15"/>
      <c r="F112" s="15"/>
      <c r="G112" s="15"/>
    </row>
    <row r="113" spans="1:9" s="13" customFormat="1" x14ac:dyDescent="0.2">
      <c r="A113" s="15" t="s">
        <v>19</v>
      </c>
      <c r="B113" s="15">
        <v>50</v>
      </c>
      <c r="C113" s="15">
        <f>B113</f>
        <v>50</v>
      </c>
      <c r="D113" s="15"/>
      <c r="E113" s="15"/>
      <c r="F113" s="15"/>
      <c r="G113" s="15"/>
    </row>
    <row r="114" spans="1:9" s="13" customFormat="1" x14ac:dyDescent="0.2">
      <c r="A114" s="15" t="s">
        <v>75</v>
      </c>
      <c r="B114" s="15">
        <v>400</v>
      </c>
      <c r="C114" s="15"/>
      <c r="D114" s="15"/>
      <c r="E114" s="15"/>
      <c r="F114" s="15">
        <f>B114</f>
        <v>400</v>
      </c>
      <c r="G114" s="15"/>
    </row>
    <row r="115" spans="1:9" s="13" customFormat="1" ht="34" x14ac:dyDescent="0.2">
      <c r="A115" s="318" t="s">
        <v>975</v>
      </c>
      <c r="B115" s="15">
        <v>300</v>
      </c>
      <c r="C115" s="15">
        <f>B115</f>
        <v>300</v>
      </c>
      <c r="D115" s="15"/>
      <c r="E115" s="15"/>
      <c r="F115" s="15"/>
      <c r="G115" s="15"/>
    </row>
    <row r="116" spans="1:9" s="13" customFormat="1" x14ac:dyDescent="0.2">
      <c r="A116" s="15" t="s">
        <v>21</v>
      </c>
      <c r="B116" s="15">
        <v>70</v>
      </c>
      <c r="C116" s="15"/>
      <c r="D116" s="15">
        <f>B116</f>
        <v>70</v>
      </c>
      <c r="E116" s="15"/>
      <c r="F116" s="15"/>
      <c r="G116" s="15"/>
    </row>
    <row r="117" spans="1:9" s="13" customFormat="1" ht="34" x14ac:dyDescent="0.2">
      <c r="A117" s="318" t="s">
        <v>976</v>
      </c>
      <c r="B117" s="15">
        <v>200</v>
      </c>
      <c r="C117" s="15"/>
      <c r="D117" s="15">
        <f>B117</f>
        <v>200</v>
      </c>
      <c r="E117" s="15"/>
      <c r="F117" s="15"/>
      <c r="G117" s="15"/>
    </row>
    <row r="118" spans="1:9" s="13" customFormat="1" ht="34" x14ac:dyDescent="0.2">
      <c r="A118" s="318" t="s">
        <v>977</v>
      </c>
      <c r="B118" s="15">
        <v>100</v>
      </c>
      <c r="C118" s="15"/>
      <c r="D118" s="15">
        <f>B118</f>
        <v>100</v>
      </c>
      <c r="E118" s="15"/>
      <c r="F118" s="15"/>
      <c r="G118" s="15"/>
    </row>
    <row r="119" spans="1:9" s="13" customFormat="1" x14ac:dyDescent="0.2">
      <c r="A119" s="15" t="s">
        <v>29</v>
      </c>
      <c r="B119" s="15">
        <v>30</v>
      </c>
      <c r="C119" s="15"/>
      <c r="D119" s="15"/>
      <c r="E119" s="15">
        <f>B119</f>
        <v>30</v>
      </c>
      <c r="F119" s="15"/>
      <c r="G119" s="15"/>
    </row>
    <row r="120" spans="1:9" s="13" customFormat="1" x14ac:dyDescent="0.2">
      <c r="A120" s="15" t="s">
        <v>268</v>
      </c>
      <c r="B120" s="15">
        <v>220</v>
      </c>
      <c r="C120" s="15"/>
      <c r="D120" s="15"/>
      <c r="E120" s="15"/>
      <c r="F120" s="15"/>
      <c r="G120" s="15">
        <f>B120</f>
        <v>220</v>
      </c>
    </row>
    <row r="121" spans="1:9" s="13" customFormat="1" x14ac:dyDescent="0.2">
      <c r="A121" s="15" t="s">
        <v>1646</v>
      </c>
      <c r="B121" s="15">
        <v>30</v>
      </c>
      <c r="C121" s="6">
        <f>B121</f>
        <v>30</v>
      </c>
      <c r="D121" s="317"/>
      <c r="E121" s="317"/>
      <c r="F121" s="317"/>
      <c r="G121" s="317"/>
      <c r="H121" s="13" t="s">
        <v>3245</v>
      </c>
    </row>
    <row r="122" spans="1:9" ht="17" x14ac:dyDescent="0.2">
      <c r="A122" s="6" t="s">
        <v>1933</v>
      </c>
      <c r="B122" s="6" t="s">
        <v>31</v>
      </c>
      <c r="C122" s="317"/>
      <c r="D122" s="317"/>
      <c r="E122" s="547" t="s">
        <v>31</v>
      </c>
      <c r="F122" s="317"/>
      <c r="G122" s="317"/>
    </row>
    <row r="123" spans="1:9" ht="34" x14ac:dyDescent="0.2">
      <c r="A123" s="162" t="s">
        <v>1934</v>
      </c>
      <c r="B123" s="6" t="s">
        <v>31</v>
      </c>
      <c r="C123" s="156">
        <v>1000</v>
      </c>
      <c r="H123" s="1" t="s">
        <v>3279</v>
      </c>
    </row>
    <row r="124" spans="1:9" ht="52" customHeight="1" x14ac:dyDescent="0.2">
      <c r="A124" s="162" t="s">
        <v>3246</v>
      </c>
      <c r="B124" s="6" t="s">
        <v>31</v>
      </c>
      <c r="C124" s="156">
        <f>-(1000-0)/10*(9/12)</f>
        <v>-75</v>
      </c>
      <c r="H124" s="626" t="s">
        <v>1938</v>
      </c>
      <c r="I124" s="626"/>
    </row>
    <row r="125" spans="1:9" ht="34" x14ac:dyDescent="0.2">
      <c r="A125" s="162" t="s">
        <v>979</v>
      </c>
      <c r="B125" s="6">
        <v>14</v>
      </c>
      <c r="G125" s="6">
        <f>-B125</f>
        <v>-14</v>
      </c>
    </row>
    <row r="126" spans="1:9" ht="34" x14ac:dyDescent="0.2">
      <c r="A126" s="162" t="s">
        <v>3247</v>
      </c>
      <c r="B126" s="6">
        <v>15</v>
      </c>
      <c r="F126" s="6">
        <f>B126</f>
        <v>15</v>
      </c>
    </row>
    <row r="127" spans="1:9" ht="34" x14ac:dyDescent="0.2">
      <c r="A127" s="162" t="s">
        <v>980</v>
      </c>
      <c r="B127" s="6">
        <v>1000</v>
      </c>
      <c r="C127" s="6">
        <f>B127</f>
        <v>1000</v>
      </c>
    </row>
    <row r="128" spans="1:9" ht="34" x14ac:dyDescent="0.2">
      <c r="A128" s="162" t="s">
        <v>981</v>
      </c>
      <c r="B128" s="6">
        <v>450</v>
      </c>
      <c r="C128" s="6">
        <f>B128</f>
        <v>450</v>
      </c>
    </row>
    <row r="129" spans="1:8" x14ac:dyDescent="0.2">
      <c r="A129" s="6" t="s">
        <v>24</v>
      </c>
      <c r="B129" s="6">
        <v>250</v>
      </c>
      <c r="C129" s="6">
        <f>B129</f>
        <v>250</v>
      </c>
    </row>
    <row r="130" spans="1:8" ht="34" x14ac:dyDescent="0.2">
      <c r="A130" s="162" t="s">
        <v>982</v>
      </c>
      <c r="B130" s="6">
        <v>10</v>
      </c>
      <c r="G130" s="6">
        <f>B130</f>
        <v>10</v>
      </c>
    </row>
    <row r="131" spans="1:8" ht="34" x14ac:dyDescent="0.2">
      <c r="A131" s="162" t="s">
        <v>983</v>
      </c>
      <c r="B131" s="6">
        <v>12</v>
      </c>
      <c r="F131" s="6">
        <f>B131</f>
        <v>12</v>
      </c>
    </row>
    <row r="132" spans="1:8" ht="34" x14ac:dyDescent="0.2">
      <c r="A132" s="162" t="s">
        <v>984</v>
      </c>
      <c r="B132" s="6">
        <v>17</v>
      </c>
      <c r="G132" s="6">
        <f t="shared" ref="G132:G137" si="0">B132</f>
        <v>17</v>
      </c>
    </row>
    <row r="133" spans="1:8" ht="34" x14ac:dyDescent="0.2">
      <c r="A133" s="162" t="s">
        <v>985</v>
      </c>
      <c r="B133" s="6">
        <v>80</v>
      </c>
      <c r="G133" s="6">
        <f t="shared" si="0"/>
        <v>80</v>
      </c>
    </row>
    <row r="134" spans="1:8" ht="34" x14ac:dyDescent="0.2">
      <c r="A134" s="162" t="s">
        <v>986</v>
      </c>
      <c r="B134" s="6">
        <v>11</v>
      </c>
      <c r="G134" s="6">
        <f t="shared" si="0"/>
        <v>11</v>
      </c>
    </row>
    <row r="135" spans="1:8" ht="34" x14ac:dyDescent="0.2">
      <c r="A135" s="162" t="s">
        <v>987</v>
      </c>
      <c r="B135" s="6">
        <v>7</v>
      </c>
      <c r="G135" s="6">
        <f t="shared" si="0"/>
        <v>7</v>
      </c>
    </row>
    <row r="136" spans="1:8" ht="34" x14ac:dyDescent="0.2">
      <c r="A136" s="162" t="s">
        <v>988</v>
      </c>
      <c r="B136" s="6">
        <v>9</v>
      </c>
      <c r="G136" s="6">
        <f t="shared" si="0"/>
        <v>9</v>
      </c>
    </row>
    <row r="137" spans="1:8" ht="34" x14ac:dyDescent="0.2">
      <c r="A137" s="162" t="s">
        <v>989</v>
      </c>
      <c r="B137" s="6">
        <v>5</v>
      </c>
      <c r="G137" s="6">
        <f t="shared" si="0"/>
        <v>5</v>
      </c>
    </row>
    <row r="138" spans="1:8" ht="34" x14ac:dyDescent="0.2">
      <c r="A138" s="162" t="s">
        <v>990</v>
      </c>
      <c r="B138" s="6">
        <v>12</v>
      </c>
      <c r="F138" s="6">
        <f>-B138</f>
        <v>-12</v>
      </c>
    </row>
    <row r="139" spans="1:8" ht="51" x14ac:dyDescent="0.2">
      <c r="A139" s="162" t="s">
        <v>3248</v>
      </c>
      <c r="B139" s="6">
        <v>8</v>
      </c>
      <c r="F139" s="6">
        <f>-B139</f>
        <v>-8</v>
      </c>
    </row>
    <row r="140" spans="1:8" s="13" customFormat="1" ht="51" x14ac:dyDescent="0.2">
      <c r="A140" s="318" t="s">
        <v>3251</v>
      </c>
      <c r="B140" s="15" t="s">
        <v>31</v>
      </c>
      <c r="C140" s="156">
        <v>20</v>
      </c>
      <c r="D140" s="317"/>
      <c r="E140" s="317"/>
      <c r="F140" s="317"/>
      <c r="G140" s="317"/>
      <c r="H140" s="13" t="s">
        <v>3249</v>
      </c>
    </row>
    <row r="141" spans="1:8" s="13" customFormat="1" ht="52" thickBot="1" x14ac:dyDescent="0.25">
      <c r="A141" s="318" t="s">
        <v>3252</v>
      </c>
      <c r="B141" s="15" t="s">
        <v>31</v>
      </c>
      <c r="C141" s="317"/>
      <c r="D141" s="317"/>
      <c r="E141" s="317"/>
      <c r="F141" s="317"/>
      <c r="G141" s="156">
        <v>-20</v>
      </c>
      <c r="H141" s="13" t="s">
        <v>3250</v>
      </c>
    </row>
    <row r="142" spans="1:8" ht="18" thickBot="1" x14ac:dyDescent="0.25">
      <c r="A142" s="162" t="s">
        <v>281</v>
      </c>
      <c r="B142" s="172"/>
      <c r="C142" s="171">
        <f>SUM(C112:C141)</f>
        <v>3125</v>
      </c>
      <c r="D142" s="171">
        <f>SUM(D112:D141)</f>
        <v>370</v>
      </c>
      <c r="E142" s="171" t="s">
        <v>1059</v>
      </c>
      <c r="F142" s="171">
        <f>SUM(F112:F141)</f>
        <v>407</v>
      </c>
      <c r="G142" s="171">
        <f>SUM(G112:G141)</f>
        <v>325</v>
      </c>
    </row>
    <row r="143" spans="1:8" x14ac:dyDescent="0.2">
      <c r="A143" s="162"/>
      <c r="B143" s="6"/>
    </row>
    <row r="144" spans="1:8" x14ac:dyDescent="0.2">
      <c r="A144" s="162"/>
      <c r="B144" s="6"/>
      <c r="E144" s="6" t="s">
        <v>1060</v>
      </c>
    </row>
    <row r="145" spans="1:8" x14ac:dyDescent="0.2">
      <c r="A145" s="162"/>
      <c r="B145" s="6"/>
      <c r="D145" s="87" t="s">
        <v>1061</v>
      </c>
    </row>
    <row r="149" spans="1:8" ht="23" x14ac:dyDescent="0.25">
      <c r="A149" s="624" t="s">
        <v>1077</v>
      </c>
      <c r="B149" s="624"/>
      <c r="C149" s="624"/>
      <c r="D149" s="624"/>
      <c r="E149" s="624"/>
      <c r="F149" s="624"/>
      <c r="G149" s="624"/>
      <c r="H149" s="624"/>
    </row>
    <row r="152" spans="1:8" x14ac:dyDescent="0.2">
      <c r="A152" s="166" t="s">
        <v>1014</v>
      </c>
    </row>
    <row r="153" spans="1:8" x14ac:dyDescent="0.2">
      <c r="A153" s="1" t="s">
        <v>1015</v>
      </c>
    </row>
    <row r="154" spans="1:8" x14ac:dyDescent="0.2">
      <c r="A154" s="1" t="s">
        <v>1016</v>
      </c>
    </row>
    <row r="155" spans="1:8" x14ac:dyDescent="0.2">
      <c r="A155" s="1" t="s">
        <v>1017</v>
      </c>
    </row>
    <row r="156" spans="1:8" x14ac:dyDescent="0.2">
      <c r="D156" s="6" t="s">
        <v>1024</v>
      </c>
      <c r="E156" s="6" t="s">
        <v>1025</v>
      </c>
    </row>
    <row r="157" spans="1:8" x14ac:dyDescent="0.2">
      <c r="B157" s="1" t="s">
        <v>1018</v>
      </c>
      <c r="D157" s="6" t="s">
        <v>76</v>
      </c>
      <c r="E157" s="6">
        <v>900</v>
      </c>
      <c r="F157" s="6" t="s">
        <v>1026</v>
      </c>
    </row>
    <row r="158" spans="1:8" x14ac:dyDescent="0.2">
      <c r="B158" s="1" t="s">
        <v>1019</v>
      </c>
    </row>
    <row r="159" spans="1:8" x14ac:dyDescent="0.2">
      <c r="B159" s="1" t="s">
        <v>722</v>
      </c>
      <c r="D159" s="6" t="s">
        <v>76</v>
      </c>
      <c r="E159" s="575">
        <v>100</v>
      </c>
      <c r="F159" s="575" t="s">
        <v>1026</v>
      </c>
    </row>
    <row r="160" spans="1:8" x14ac:dyDescent="0.2">
      <c r="B160" s="1" t="s">
        <v>1027</v>
      </c>
      <c r="D160" s="6" t="s">
        <v>76</v>
      </c>
      <c r="E160" s="575"/>
      <c r="F160" s="575"/>
    </row>
    <row r="161" spans="1:7" x14ac:dyDescent="0.2">
      <c r="B161" s="1" t="s">
        <v>1020</v>
      </c>
      <c r="D161" s="6" t="s">
        <v>76</v>
      </c>
    </row>
    <row r="162" spans="1:7" ht="17" thickBot="1" x14ac:dyDescent="0.25">
      <c r="B162" s="1" t="s">
        <v>1021</v>
      </c>
      <c r="D162" s="6" t="s">
        <v>76</v>
      </c>
    </row>
    <row r="163" spans="1:7" ht="17" thickBot="1" x14ac:dyDescent="0.25">
      <c r="B163" s="1" t="s">
        <v>1022</v>
      </c>
      <c r="D163" s="6" t="s">
        <v>1023</v>
      </c>
      <c r="E163" s="167">
        <f>E157+E159</f>
        <v>1000</v>
      </c>
    </row>
    <row r="166" spans="1:7" x14ac:dyDescent="0.2">
      <c r="A166" s="166" t="s">
        <v>1028</v>
      </c>
    </row>
    <row r="167" spans="1:7" x14ac:dyDescent="0.2">
      <c r="B167" s="1" t="s">
        <v>999</v>
      </c>
    </row>
    <row r="168" spans="1:7" x14ac:dyDescent="0.2">
      <c r="B168" s="1" t="s">
        <v>1000</v>
      </c>
    </row>
    <row r="169" spans="1:7" x14ac:dyDescent="0.2">
      <c r="B169" s="1" t="s">
        <v>1001</v>
      </c>
    </row>
    <row r="170" spans="1:7" x14ac:dyDescent="0.2">
      <c r="B170" s="1" t="s">
        <v>1002</v>
      </c>
    </row>
    <row r="172" spans="1:7" x14ac:dyDescent="0.2">
      <c r="B172" s="122" t="s">
        <v>1029</v>
      </c>
    </row>
    <row r="174" spans="1:7" x14ac:dyDescent="0.2">
      <c r="B174" s="1" t="s">
        <v>1030</v>
      </c>
      <c r="C174" s="41">
        <v>1000</v>
      </c>
      <c r="E174" s="6" t="s">
        <v>1039</v>
      </c>
      <c r="F174" s="6" t="s">
        <v>1038</v>
      </c>
      <c r="G174" s="6" t="s">
        <v>1044</v>
      </c>
    </row>
    <row r="175" spans="1:7" x14ac:dyDescent="0.2">
      <c r="B175" s="1" t="s">
        <v>1031</v>
      </c>
      <c r="C175" s="6">
        <v>10</v>
      </c>
      <c r="D175" s="6" t="s">
        <v>1032</v>
      </c>
    </row>
    <row r="176" spans="1:7" x14ac:dyDescent="0.2">
      <c r="B176" s="1" t="s">
        <v>1033</v>
      </c>
      <c r="C176" s="6" t="s">
        <v>1034</v>
      </c>
    </row>
    <row r="177" spans="1:5" x14ac:dyDescent="0.2">
      <c r="B177" s="1" t="s">
        <v>1035</v>
      </c>
      <c r="C177" s="6">
        <v>0</v>
      </c>
    </row>
    <row r="178" spans="1:5" x14ac:dyDescent="0.2">
      <c r="B178" s="1" t="s">
        <v>1036</v>
      </c>
      <c r="C178" s="6" t="s">
        <v>1037</v>
      </c>
      <c r="E178" s="168" t="s">
        <v>1045</v>
      </c>
    </row>
    <row r="179" spans="1:5" x14ac:dyDescent="0.2">
      <c r="E179" s="168" t="s">
        <v>1046</v>
      </c>
    </row>
    <row r="181" spans="1:5" x14ac:dyDescent="0.2">
      <c r="B181" s="1" t="s">
        <v>1040</v>
      </c>
    </row>
    <row r="182" spans="1:5" x14ac:dyDescent="0.2">
      <c r="B182" s="1" t="s">
        <v>1041</v>
      </c>
    </row>
    <row r="183" spans="1:5" x14ac:dyDescent="0.2">
      <c r="B183" s="1" t="s">
        <v>1042</v>
      </c>
    </row>
    <row r="184" spans="1:5" x14ac:dyDescent="0.2">
      <c r="B184" s="1" t="s">
        <v>1043</v>
      </c>
    </row>
    <row r="186" spans="1:5" x14ac:dyDescent="0.2">
      <c r="A186" s="166" t="s">
        <v>1047</v>
      </c>
    </row>
    <row r="188" spans="1:5" x14ac:dyDescent="0.2">
      <c r="A188" s="1" t="s">
        <v>1048</v>
      </c>
      <c r="B188" s="1" t="s">
        <v>1003</v>
      </c>
    </row>
    <row r="189" spans="1:5" x14ac:dyDescent="0.2">
      <c r="B189" s="1" t="s">
        <v>1004</v>
      </c>
    </row>
    <row r="190" spans="1:5" x14ac:dyDescent="0.2">
      <c r="B190" s="1" t="s">
        <v>1005</v>
      </c>
    </row>
    <row r="192" spans="1:5" x14ac:dyDescent="0.2">
      <c r="A192" s="1" t="s">
        <v>883</v>
      </c>
      <c r="B192" s="1" t="s">
        <v>1049</v>
      </c>
    </row>
    <row r="193" spans="1:7" x14ac:dyDescent="0.2">
      <c r="B193" s="1" t="s">
        <v>1051</v>
      </c>
      <c r="E193" s="41">
        <v>20000</v>
      </c>
      <c r="F193" s="6" t="s">
        <v>1050</v>
      </c>
      <c r="G193" s="6" t="s">
        <v>843</v>
      </c>
    </row>
    <row r="194" spans="1:7" x14ac:dyDescent="0.2">
      <c r="E194" s="41"/>
    </row>
    <row r="195" spans="1:7" x14ac:dyDescent="0.2">
      <c r="B195" s="1" t="s">
        <v>1052</v>
      </c>
      <c r="F195" s="36" t="s">
        <v>1024</v>
      </c>
    </row>
    <row r="196" spans="1:7" x14ac:dyDescent="0.2">
      <c r="B196" s="1" t="s">
        <v>1053</v>
      </c>
      <c r="E196" s="6" t="s">
        <v>76</v>
      </c>
      <c r="F196" s="6">
        <v>30</v>
      </c>
    </row>
    <row r="197" spans="1:7" x14ac:dyDescent="0.2">
      <c r="B197" s="1" t="s">
        <v>2752</v>
      </c>
      <c r="E197" s="6" t="s">
        <v>77</v>
      </c>
      <c r="F197" s="6">
        <v>0</v>
      </c>
    </row>
    <row r="198" spans="1:7" ht="17" thickBot="1" x14ac:dyDescent="0.25">
      <c r="B198" s="1" t="s">
        <v>2753</v>
      </c>
      <c r="E198" s="6" t="s">
        <v>77</v>
      </c>
      <c r="F198" s="6">
        <v>-4</v>
      </c>
    </row>
    <row r="199" spans="1:7" ht="17" thickBot="1" x14ac:dyDescent="0.25">
      <c r="B199" s="1" t="s">
        <v>1054</v>
      </c>
      <c r="E199" s="6" t="s">
        <v>79</v>
      </c>
      <c r="F199" s="17">
        <f>F196+F197+F198</f>
        <v>26</v>
      </c>
    </row>
    <row r="201" spans="1:7" x14ac:dyDescent="0.2">
      <c r="B201" s="1" t="s">
        <v>1055</v>
      </c>
      <c r="D201" s="6">
        <v>20</v>
      </c>
    </row>
    <row r="202" spans="1:7" ht="17" thickBot="1" x14ac:dyDescent="0.25">
      <c r="B202" s="1" t="s">
        <v>1056</v>
      </c>
      <c r="D202" s="6">
        <v>26</v>
      </c>
    </row>
    <row r="203" spans="1:7" ht="17" thickBot="1" x14ac:dyDescent="0.25">
      <c r="B203" s="2" t="s">
        <v>1057</v>
      </c>
      <c r="C203" s="150"/>
      <c r="D203" s="170">
        <f>MIN(D201,D202)</f>
        <v>20</v>
      </c>
      <c r="F203" s="6" t="s">
        <v>1058</v>
      </c>
    </row>
    <row r="206" spans="1:7" x14ac:dyDescent="0.2">
      <c r="A206" s="166" t="s">
        <v>1062</v>
      </c>
    </row>
    <row r="207" spans="1:7" x14ac:dyDescent="0.2">
      <c r="A207" s="1" t="s">
        <v>1063</v>
      </c>
    </row>
    <row r="214" spans="1:6" ht="17" thickBot="1" x14ac:dyDescent="0.25">
      <c r="A214" s="1" t="s">
        <v>1064</v>
      </c>
    </row>
    <row r="215" spans="1:6" x14ac:dyDescent="0.2">
      <c r="B215" s="173" t="s">
        <v>1065</v>
      </c>
      <c r="C215" s="149"/>
      <c r="D215" s="165">
        <f>3095</f>
        <v>3095</v>
      </c>
    </row>
    <row r="216" spans="1:6" x14ac:dyDescent="0.2">
      <c r="B216" s="63" t="s">
        <v>79</v>
      </c>
      <c r="C216" s="62"/>
    </row>
    <row r="217" spans="1:6" ht="17" thickBot="1" x14ac:dyDescent="0.25">
      <c r="B217" s="174" t="s">
        <v>1066</v>
      </c>
      <c r="C217" s="175"/>
      <c r="E217" s="176"/>
      <c r="F217" s="177" t="s">
        <v>1068</v>
      </c>
    </row>
    <row r="219" spans="1:6" x14ac:dyDescent="0.2">
      <c r="E219" s="6" t="s">
        <v>1070</v>
      </c>
      <c r="F219" s="87" t="s">
        <v>1069</v>
      </c>
    </row>
    <row r="220" spans="1:6" x14ac:dyDescent="0.2">
      <c r="E220" s="6" t="s">
        <v>1071</v>
      </c>
      <c r="F220" s="87"/>
    </row>
    <row r="221" spans="1:6" x14ac:dyDescent="0.2">
      <c r="E221" s="6" t="s">
        <v>9</v>
      </c>
      <c r="F221" s="54" t="s">
        <v>12</v>
      </c>
    </row>
    <row r="222" spans="1:6" x14ac:dyDescent="0.2">
      <c r="E222" s="6" t="s">
        <v>1072</v>
      </c>
      <c r="F222" s="87"/>
    </row>
    <row r="223" spans="1:6" x14ac:dyDescent="0.2">
      <c r="E223" s="6" t="s">
        <v>10</v>
      </c>
    </row>
    <row r="225" spans="1:8" x14ac:dyDescent="0.2">
      <c r="B225" s="1" t="s">
        <v>1067</v>
      </c>
    </row>
    <row r="227" spans="1:8" x14ac:dyDescent="0.2">
      <c r="B227" s="1" t="s">
        <v>1073</v>
      </c>
    </row>
    <row r="228" spans="1:8" x14ac:dyDescent="0.2">
      <c r="D228" s="581" t="s">
        <v>1074</v>
      </c>
      <c r="E228" s="581"/>
      <c r="F228" s="581"/>
    </row>
    <row r="229" spans="1:8" x14ac:dyDescent="0.2">
      <c r="A229" s="110" t="s">
        <v>1076</v>
      </c>
      <c r="D229" s="178">
        <f>3095-370-30-407+355</f>
        <v>2643</v>
      </c>
      <c r="E229" s="6" t="s">
        <v>1075</v>
      </c>
    </row>
    <row r="231" spans="1:8" ht="17" thickBot="1" x14ac:dyDescent="0.25"/>
    <row r="232" spans="1:8" ht="24" thickBot="1" x14ac:dyDescent="0.3">
      <c r="A232" s="621" t="s">
        <v>1078</v>
      </c>
      <c r="B232" s="622"/>
      <c r="C232" s="622"/>
      <c r="D232" s="622"/>
      <c r="E232" s="622"/>
      <c r="F232" s="622"/>
      <c r="G232" s="622"/>
      <c r="H232" s="623"/>
    </row>
    <row r="233" spans="1:8" ht="17" thickBot="1" x14ac:dyDescent="0.25"/>
    <row r="234" spans="1:8" x14ac:dyDescent="0.2">
      <c r="A234" s="18" t="s">
        <v>1079</v>
      </c>
      <c r="B234" s="100"/>
      <c r="C234" s="179"/>
      <c r="D234" s="179"/>
      <c r="E234" s="179"/>
      <c r="F234" s="179"/>
      <c r="G234" s="179"/>
      <c r="H234" s="19"/>
    </row>
    <row r="235" spans="1:8" ht="17" thickBot="1" x14ac:dyDescent="0.25">
      <c r="A235" s="20" t="s">
        <v>1080</v>
      </c>
      <c r="B235" s="103"/>
      <c r="C235" s="158"/>
      <c r="D235" s="158"/>
      <c r="E235" s="158"/>
      <c r="F235" s="158"/>
      <c r="G235" s="158"/>
      <c r="H235" s="21"/>
    </row>
    <row r="236" spans="1:8" ht="17" thickBot="1" x14ac:dyDescent="0.25"/>
    <row r="237" spans="1:8" x14ac:dyDescent="0.2">
      <c r="A237" s="18" t="s">
        <v>1081</v>
      </c>
      <c r="B237" s="100"/>
      <c r="C237" s="179"/>
      <c r="D237" s="179"/>
      <c r="E237" s="179"/>
      <c r="F237" s="179"/>
      <c r="G237" s="179"/>
      <c r="H237" s="19"/>
    </row>
    <row r="238" spans="1:8" ht="17" thickBot="1" x14ac:dyDescent="0.25">
      <c r="A238" s="20" t="s">
        <v>1082</v>
      </c>
      <c r="B238" s="103"/>
      <c r="C238" s="158"/>
      <c r="D238" s="158"/>
      <c r="E238" s="158"/>
      <c r="F238" s="158"/>
      <c r="G238" s="158"/>
      <c r="H238" s="21"/>
    </row>
    <row r="239" spans="1:8" ht="17" thickBot="1" x14ac:dyDescent="0.25"/>
    <row r="240" spans="1:8" ht="17" thickBot="1" x14ac:dyDescent="0.25">
      <c r="A240" s="146" t="s">
        <v>1083</v>
      </c>
      <c r="B240" s="121"/>
      <c r="C240" s="171"/>
      <c r="D240" s="171"/>
      <c r="E240" s="171"/>
      <c r="F240" s="171"/>
      <c r="G240" s="171"/>
      <c r="H240" s="147"/>
    </row>
    <row r="242" spans="1:8" x14ac:dyDescent="0.2">
      <c r="A242" s="110" t="s">
        <v>1093</v>
      </c>
      <c r="B242" s="110"/>
      <c r="C242" s="145"/>
      <c r="D242" s="145"/>
      <c r="E242" s="145"/>
      <c r="F242" s="145"/>
      <c r="G242" s="145"/>
      <c r="H242" s="110"/>
    </row>
    <row r="243" spans="1:8" x14ac:dyDescent="0.2">
      <c r="A243" s="110" t="s">
        <v>1094</v>
      </c>
      <c r="B243" s="110"/>
      <c r="C243" s="145"/>
      <c r="D243" s="145"/>
      <c r="E243" s="145"/>
      <c r="F243" s="145"/>
      <c r="G243" s="145"/>
      <c r="H243" s="110"/>
    </row>
    <row r="244" spans="1:8" x14ac:dyDescent="0.2">
      <c r="A244" s="110" t="s">
        <v>1095</v>
      </c>
      <c r="B244" s="110"/>
      <c r="C244" s="145"/>
      <c r="D244" s="145"/>
      <c r="E244" s="145"/>
      <c r="F244" s="145"/>
      <c r="G244" s="145"/>
      <c r="H244" s="110"/>
    </row>
    <row r="245" spans="1:8" ht="17" thickBot="1" x14ac:dyDescent="0.25"/>
    <row r="246" spans="1:8" x14ac:dyDescent="0.2">
      <c r="A246" s="180" t="s">
        <v>1096</v>
      </c>
      <c r="B246" s="100"/>
      <c r="C246" s="179"/>
      <c r="D246" s="179"/>
      <c r="E246" s="179"/>
      <c r="F246" s="179"/>
      <c r="G246" s="179"/>
      <c r="H246" s="19"/>
    </row>
    <row r="247" spans="1:8" x14ac:dyDescent="0.2">
      <c r="A247" s="106" t="s">
        <v>1084</v>
      </c>
      <c r="H247" s="107"/>
    </row>
    <row r="248" spans="1:8" ht="17" thickBot="1" x14ac:dyDescent="0.25">
      <c r="A248" s="20" t="s">
        <v>1085</v>
      </c>
      <c r="B248" s="103"/>
      <c r="C248" s="158"/>
      <c r="D248" s="158"/>
      <c r="E248" s="158"/>
      <c r="F248" s="158"/>
      <c r="G248" s="158"/>
      <c r="H248" s="21"/>
    </row>
    <row r="249" spans="1:8" ht="17" thickBot="1" x14ac:dyDescent="0.25"/>
    <row r="250" spans="1:8" ht="17" thickBot="1" x14ac:dyDescent="0.25">
      <c r="A250" s="181" t="s">
        <v>1097</v>
      </c>
      <c r="B250" s="182"/>
      <c r="C250" s="183"/>
      <c r="D250" s="183"/>
      <c r="E250" s="183"/>
      <c r="F250" s="183"/>
      <c r="G250" s="183"/>
      <c r="H250" s="184"/>
    </row>
    <row r="252" spans="1:8" x14ac:dyDescent="0.2">
      <c r="A252" s="156" t="s">
        <v>284</v>
      </c>
      <c r="B252" s="1" t="s">
        <v>999</v>
      </c>
    </row>
    <row r="253" spans="1:8" x14ac:dyDescent="0.2">
      <c r="B253" s="1" t="s">
        <v>1000</v>
      </c>
    </row>
    <row r="254" spans="1:8" x14ac:dyDescent="0.2">
      <c r="B254" s="1" t="s">
        <v>1001</v>
      </c>
    </row>
    <row r="255" spans="1:8" x14ac:dyDescent="0.2">
      <c r="B255" s="1" t="s">
        <v>1002</v>
      </c>
    </row>
    <row r="257" spans="1:8" x14ac:dyDescent="0.2">
      <c r="E257" s="36" t="s">
        <v>1024</v>
      </c>
    </row>
    <row r="258" spans="1:8" x14ac:dyDescent="0.2">
      <c r="B258" s="1" t="s">
        <v>2754</v>
      </c>
      <c r="E258" s="41">
        <v>1000</v>
      </c>
    </row>
    <row r="259" spans="1:8" x14ac:dyDescent="0.2">
      <c r="B259" s="1" t="s">
        <v>2755</v>
      </c>
      <c r="E259" s="6">
        <v>75</v>
      </c>
      <c r="H259" s="1" t="s">
        <v>2756</v>
      </c>
    </row>
    <row r="261" spans="1:8" x14ac:dyDescent="0.2">
      <c r="A261" s="1" t="s">
        <v>1098</v>
      </c>
      <c r="B261" s="1" t="s">
        <v>1099</v>
      </c>
    </row>
    <row r="262" spans="1:8" x14ac:dyDescent="0.2">
      <c r="B262" s="1" t="s">
        <v>1100</v>
      </c>
    </row>
    <row r="266" spans="1:8" x14ac:dyDescent="0.2">
      <c r="B266" s="1" t="s">
        <v>1101</v>
      </c>
    </row>
    <row r="267" spans="1:8" x14ac:dyDescent="0.2">
      <c r="C267" s="87" t="s">
        <v>695</v>
      </c>
    </row>
    <row r="268" spans="1:8" x14ac:dyDescent="0.2">
      <c r="C268" s="87" t="s">
        <v>1102</v>
      </c>
    </row>
    <row r="269" spans="1:8" x14ac:dyDescent="0.2">
      <c r="C269" s="87" t="s">
        <v>1103</v>
      </c>
    </row>
    <row r="271" spans="1:8" x14ac:dyDescent="0.2">
      <c r="A271" s="166" t="s">
        <v>2757</v>
      </c>
      <c r="B271" s="1" t="s">
        <v>2758</v>
      </c>
    </row>
    <row r="272" spans="1:8" x14ac:dyDescent="0.2">
      <c r="A272" s="166">
        <v>2020</v>
      </c>
      <c r="B272" s="1" t="s">
        <v>1108</v>
      </c>
    </row>
    <row r="273" spans="1:8" ht="17" thickBot="1" x14ac:dyDescent="0.25"/>
    <row r="274" spans="1:8" ht="51" x14ac:dyDescent="0.2">
      <c r="B274" s="180" t="s">
        <v>1107</v>
      </c>
      <c r="C274" s="465"/>
      <c r="D274" s="466"/>
      <c r="F274" s="36" t="s">
        <v>11</v>
      </c>
      <c r="G274" s="36" t="s">
        <v>12</v>
      </c>
      <c r="H274" s="185" t="s">
        <v>1104</v>
      </c>
    </row>
    <row r="275" spans="1:8" x14ac:dyDescent="0.2">
      <c r="B275" s="151" t="s">
        <v>1105</v>
      </c>
      <c r="C275" s="150"/>
      <c r="D275" s="467"/>
      <c r="E275" s="6" t="s">
        <v>160</v>
      </c>
      <c r="F275" s="6" t="s">
        <v>162</v>
      </c>
      <c r="G275" s="6" t="s">
        <v>163</v>
      </c>
      <c r="H275" s="6" t="s">
        <v>163</v>
      </c>
    </row>
    <row r="276" spans="1:8" ht="17" thickBot="1" x14ac:dyDescent="0.25">
      <c r="B276" s="153" t="s">
        <v>1106</v>
      </c>
      <c r="C276" s="164"/>
      <c r="D276" s="468"/>
      <c r="E276" s="6" t="s">
        <v>161</v>
      </c>
      <c r="F276" s="6" t="s">
        <v>163</v>
      </c>
      <c r="G276" s="6" t="s">
        <v>162</v>
      </c>
      <c r="H276" s="6" t="s">
        <v>162</v>
      </c>
    </row>
    <row r="278" spans="1:8" x14ac:dyDescent="0.2">
      <c r="B278" s="25" t="s">
        <v>1940</v>
      </c>
      <c r="C278" s="36"/>
      <c r="D278" s="36"/>
      <c r="F278" s="192" t="s">
        <v>3280</v>
      </c>
      <c r="G278" s="36"/>
      <c r="H278" s="25"/>
    </row>
    <row r="279" spans="1:8" x14ac:dyDescent="0.2">
      <c r="B279" s="1" t="s">
        <v>1941</v>
      </c>
      <c r="D279" s="6">
        <v>75</v>
      </c>
      <c r="F279" s="46" t="s">
        <v>712</v>
      </c>
      <c r="G279" s="169">
        <f>D280</f>
        <v>100</v>
      </c>
    </row>
    <row r="280" spans="1:8" x14ac:dyDescent="0.2">
      <c r="B280" s="1" t="s">
        <v>1942</v>
      </c>
      <c r="D280" s="6">
        <v>100</v>
      </c>
    </row>
    <row r="281" spans="1:8" x14ac:dyDescent="0.2">
      <c r="B281" s="110" t="s">
        <v>1943</v>
      </c>
      <c r="C281" s="145"/>
      <c r="D281" s="169">
        <f>D279+D280</f>
        <v>175</v>
      </c>
    </row>
    <row r="284" spans="1:8" x14ac:dyDescent="0.2">
      <c r="A284" s="156" t="s">
        <v>285</v>
      </c>
      <c r="B284" s="1" t="s">
        <v>1003</v>
      </c>
    </row>
    <row r="285" spans="1:8" x14ac:dyDescent="0.2">
      <c r="B285" s="1" t="s">
        <v>1004</v>
      </c>
    </row>
    <row r="286" spans="1:8" x14ac:dyDescent="0.2">
      <c r="B286" s="1" t="s">
        <v>1005</v>
      </c>
    </row>
    <row r="288" spans="1:8" x14ac:dyDescent="0.2">
      <c r="B288" s="1" t="s">
        <v>2759</v>
      </c>
    </row>
    <row r="290" spans="2:6" x14ac:dyDescent="0.2">
      <c r="B290" s="1" t="s">
        <v>2760</v>
      </c>
    </row>
    <row r="291" spans="2:6" x14ac:dyDescent="0.2">
      <c r="B291" s="1" t="s">
        <v>2761</v>
      </c>
    </row>
    <row r="292" spans="2:6" x14ac:dyDescent="0.2">
      <c r="B292" s="1" t="s">
        <v>2762</v>
      </c>
    </row>
    <row r="295" spans="2:6" x14ac:dyDescent="0.2">
      <c r="C295" s="6" t="s">
        <v>1118</v>
      </c>
      <c r="F295" s="6" t="s">
        <v>1119</v>
      </c>
    </row>
    <row r="296" spans="2:6" x14ac:dyDescent="0.2">
      <c r="C296" s="6" t="s">
        <v>1114</v>
      </c>
      <c r="F296" s="6" t="s">
        <v>1120</v>
      </c>
    </row>
    <row r="297" spans="2:6" x14ac:dyDescent="0.2">
      <c r="C297" s="6" t="s">
        <v>1115</v>
      </c>
      <c r="F297" s="6" t="s">
        <v>1121</v>
      </c>
    </row>
    <row r="298" spans="2:6" x14ac:dyDescent="0.2">
      <c r="C298" s="6" t="s">
        <v>1116</v>
      </c>
    </row>
    <row r="299" spans="2:6" x14ac:dyDescent="0.2">
      <c r="C299" s="6" t="s">
        <v>1117</v>
      </c>
    </row>
    <row r="300" spans="2:6" x14ac:dyDescent="0.2">
      <c r="E300" s="87" t="s">
        <v>1122</v>
      </c>
    </row>
    <row r="301" spans="2:6" x14ac:dyDescent="0.2">
      <c r="E301" s="87" t="s">
        <v>1123</v>
      </c>
    </row>
    <row r="303" spans="2:6" x14ac:dyDescent="0.2">
      <c r="E303" s="87" t="s">
        <v>1124</v>
      </c>
    </row>
    <row r="304" spans="2:6" x14ac:dyDescent="0.2">
      <c r="E304" s="87" t="s">
        <v>1125</v>
      </c>
    </row>
    <row r="306" spans="2:8" x14ac:dyDescent="0.2">
      <c r="E306" s="87" t="s">
        <v>1126</v>
      </c>
    </row>
    <row r="307" spans="2:8" x14ac:dyDescent="0.2">
      <c r="E307" s="87" t="s">
        <v>1127</v>
      </c>
    </row>
    <row r="309" spans="2:8" x14ac:dyDescent="0.2">
      <c r="E309" s="87" t="s">
        <v>1129</v>
      </c>
      <c r="G309" s="6">
        <v>140</v>
      </c>
      <c r="H309" s="1" t="s">
        <v>1128</v>
      </c>
    </row>
    <row r="311" spans="2:8" x14ac:dyDescent="0.2">
      <c r="E311" s="87" t="s">
        <v>1130</v>
      </c>
    </row>
    <row r="312" spans="2:8" x14ac:dyDescent="0.2">
      <c r="E312" s="87" t="s">
        <v>1131</v>
      </c>
    </row>
    <row r="313" spans="2:8" x14ac:dyDescent="0.2">
      <c r="E313" s="87" t="s">
        <v>1132</v>
      </c>
    </row>
    <row r="315" spans="2:8" x14ac:dyDescent="0.2">
      <c r="B315" s="2" t="s">
        <v>2763</v>
      </c>
    </row>
    <row r="317" spans="2:8" x14ac:dyDescent="0.2">
      <c r="B317" s="144" t="s">
        <v>2764</v>
      </c>
    </row>
    <row r="318" spans="2:8" x14ac:dyDescent="0.2">
      <c r="B318" s="1" t="s">
        <v>3282</v>
      </c>
      <c r="E318" s="6">
        <v>30</v>
      </c>
      <c r="G318" s="87" t="s">
        <v>2765</v>
      </c>
    </row>
    <row r="319" spans="2:8" x14ac:dyDescent="0.2">
      <c r="B319" s="1" t="s">
        <v>3281</v>
      </c>
      <c r="E319" s="6">
        <f>E318</f>
        <v>30</v>
      </c>
      <c r="G319" s="87" t="s">
        <v>2766</v>
      </c>
    </row>
    <row r="320" spans="2:8" x14ac:dyDescent="0.2">
      <c r="B320" s="144"/>
    </row>
    <row r="321" spans="1:7" x14ac:dyDescent="0.2">
      <c r="B321" s="144" t="s">
        <v>2767</v>
      </c>
    </row>
    <row r="322" spans="1:7" x14ac:dyDescent="0.2">
      <c r="B322" s="1" t="s">
        <v>2768</v>
      </c>
      <c r="E322" s="6">
        <v>20</v>
      </c>
      <c r="G322" s="87" t="s">
        <v>2769</v>
      </c>
    </row>
    <row r="323" spans="1:7" x14ac:dyDescent="0.2">
      <c r="B323" s="1" t="s">
        <v>2770</v>
      </c>
      <c r="E323" s="6">
        <f>E322</f>
        <v>20</v>
      </c>
      <c r="G323" s="87" t="s">
        <v>2771</v>
      </c>
    </row>
    <row r="325" spans="1:7" x14ac:dyDescent="0.2">
      <c r="B325" s="2" t="s">
        <v>2772</v>
      </c>
    </row>
    <row r="326" spans="1:7" x14ac:dyDescent="0.2">
      <c r="B326" s="469" t="s">
        <v>2773</v>
      </c>
    </row>
    <row r="327" spans="1:7" x14ac:dyDescent="0.2">
      <c r="B327" s="469" t="s">
        <v>2774</v>
      </c>
    </row>
    <row r="329" spans="1:7" x14ac:dyDescent="0.2">
      <c r="A329" s="156" t="s">
        <v>288</v>
      </c>
      <c r="B329" s="1" t="s">
        <v>1006</v>
      </c>
    </row>
    <row r="330" spans="1:7" x14ac:dyDescent="0.2">
      <c r="B330" s="1" t="s">
        <v>1007</v>
      </c>
    </row>
    <row r="332" spans="1:7" x14ac:dyDescent="0.2">
      <c r="B332" s="1" t="s">
        <v>1133</v>
      </c>
    </row>
    <row r="333" spans="1:7" x14ac:dyDescent="0.2">
      <c r="B333" s="1" t="s">
        <v>1134</v>
      </c>
    </row>
    <row r="335" spans="1:7" x14ac:dyDescent="0.2">
      <c r="B335" s="1" t="s">
        <v>1135</v>
      </c>
    </row>
    <row r="337" spans="1:8" ht="51" x14ac:dyDescent="0.2">
      <c r="B337" s="2" t="s">
        <v>1143</v>
      </c>
      <c r="F337" s="36" t="s">
        <v>11</v>
      </c>
      <c r="G337" s="36" t="s">
        <v>12</v>
      </c>
      <c r="H337" s="185" t="s">
        <v>1104</v>
      </c>
    </row>
    <row r="338" spans="1:8" x14ac:dyDescent="0.2">
      <c r="B338" s="2" t="s">
        <v>1139</v>
      </c>
      <c r="E338" s="6" t="s">
        <v>160</v>
      </c>
      <c r="F338" s="6" t="s">
        <v>162</v>
      </c>
      <c r="G338" s="6" t="s">
        <v>163</v>
      </c>
      <c r="H338" s="6" t="s">
        <v>163</v>
      </c>
    </row>
    <row r="339" spans="1:8" x14ac:dyDescent="0.2">
      <c r="B339" s="2" t="s">
        <v>1138</v>
      </c>
      <c r="E339" s="6" t="s">
        <v>161</v>
      </c>
      <c r="F339" s="6" t="s">
        <v>163</v>
      </c>
      <c r="G339" s="6" t="s">
        <v>162</v>
      </c>
      <c r="H339" s="6" t="s">
        <v>162</v>
      </c>
    </row>
    <row r="341" spans="1:8" x14ac:dyDescent="0.2">
      <c r="B341" s="1" t="s">
        <v>1136</v>
      </c>
    </row>
    <row r="342" spans="1:8" x14ac:dyDescent="0.2">
      <c r="B342" s="1" t="s">
        <v>1137</v>
      </c>
    </row>
    <row r="344" spans="1:8" x14ac:dyDescent="0.2">
      <c r="B344" s="1" t="s">
        <v>1140</v>
      </c>
    </row>
    <row r="345" spans="1:8" x14ac:dyDescent="0.2">
      <c r="B345" s="1" t="s">
        <v>1141</v>
      </c>
    </row>
    <row r="346" spans="1:8" x14ac:dyDescent="0.2">
      <c r="B346" s="1" t="s">
        <v>1142</v>
      </c>
    </row>
    <row r="348" spans="1:8" x14ac:dyDescent="0.2">
      <c r="B348" s="1" t="s">
        <v>3283</v>
      </c>
      <c r="D348" s="6">
        <v>50</v>
      </c>
      <c r="E348" s="87"/>
      <c r="F348" s="87" t="s">
        <v>3286</v>
      </c>
      <c r="G348" s="87"/>
      <c r="H348" s="6">
        <v>400</v>
      </c>
    </row>
    <row r="349" spans="1:8" x14ac:dyDescent="0.2">
      <c r="B349" s="1" t="s">
        <v>3284</v>
      </c>
      <c r="D349" s="6">
        <v>22</v>
      </c>
      <c r="E349" s="87"/>
      <c r="F349" s="87" t="s">
        <v>3287</v>
      </c>
      <c r="G349" s="87"/>
      <c r="H349" s="6">
        <v>22</v>
      </c>
    </row>
    <row r="350" spans="1:8" x14ac:dyDescent="0.2">
      <c r="B350" s="110" t="s">
        <v>3285</v>
      </c>
      <c r="C350" s="145"/>
      <c r="D350" s="145">
        <f>D348+D349</f>
        <v>72</v>
      </c>
      <c r="E350" s="87"/>
      <c r="F350" s="168" t="s">
        <v>3288</v>
      </c>
      <c r="G350" s="87"/>
      <c r="H350" s="145">
        <v>422</v>
      </c>
    </row>
    <row r="352" spans="1:8" x14ac:dyDescent="0.2">
      <c r="A352" s="156" t="s">
        <v>289</v>
      </c>
      <c r="B352" s="1" t="s">
        <v>1161</v>
      </c>
    </row>
    <row r="353" spans="2:6" x14ac:dyDescent="0.2">
      <c r="B353" s="1" t="s">
        <v>1009</v>
      </c>
    </row>
    <row r="354" spans="2:6" x14ac:dyDescent="0.2">
      <c r="B354" s="1" t="s">
        <v>1010</v>
      </c>
    </row>
    <row r="356" spans="2:6" x14ac:dyDescent="0.2">
      <c r="F356" s="36" t="s">
        <v>1024</v>
      </c>
    </row>
    <row r="357" spans="2:6" x14ac:dyDescent="0.2">
      <c r="B357" s="1" t="s">
        <v>1145</v>
      </c>
      <c r="F357" s="6">
        <v>80</v>
      </c>
    </row>
    <row r="359" spans="2:6" x14ac:dyDescent="0.2">
      <c r="B359" s="1" t="s">
        <v>1146</v>
      </c>
    </row>
    <row r="360" spans="2:6" x14ac:dyDescent="0.2">
      <c r="B360" s="1" t="s">
        <v>1147</v>
      </c>
    </row>
    <row r="361" spans="2:6" x14ac:dyDescent="0.2">
      <c r="B361" s="1" t="s">
        <v>1148</v>
      </c>
    </row>
    <row r="362" spans="2:6" x14ac:dyDescent="0.2">
      <c r="B362" s="1" t="s">
        <v>1149</v>
      </c>
    </row>
    <row r="364" spans="2:6" x14ac:dyDescent="0.2">
      <c r="B364" s="1" t="s">
        <v>1150</v>
      </c>
    </row>
    <row r="365" spans="2:6" x14ac:dyDescent="0.2">
      <c r="B365" s="1" t="s">
        <v>1151</v>
      </c>
    </row>
    <row r="366" spans="2:6" x14ac:dyDescent="0.2">
      <c r="B366" s="1" t="s">
        <v>1152</v>
      </c>
      <c r="E366" s="6">
        <v>8</v>
      </c>
      <c r="F366" s="6" t="s">
        <v>1153</v>
      </c>
    </row>
    <row r="368" spans="2:6" x14ac:dyDescent="0.2">
      <c r="B368" s="1" t="s">
        <v>1155</v>
      </c>
    </row>
    <row r="369" spans="1:9" x14ac:dyDescent="0.2">
      <c r="E369" s="6">
        <v>16</v>
      </c>
      <c r="F369" s="6" t="s">
        <v>1154</v>
      </c>
    </row>
    <row r="371" spans="1:9" ht="51" x14ac:dyDescent="0.2">
      <c r="B371" s="2" t="s">
        <v>1156</v>
      </c>
      <c r="F371" s="36" t="s">
        <v>11</v>
      </c>
      <c r="G371" s="36" t="s">
        <v>12</v>
      </c>
      <c r="H371" s="185" t="s">
        <v>1104</v>
      </c>
    </row>
    <row r="372" spans="1:9" x14ac:dyDescent="0.2">
      <c r="B372" s="2" t="s">
        <v>1157</v>
      </c>
      <c r="E372" s="6" t="s">
        <v>160</v>
      </c>
      <c r="F372" s="6" t="s">
        <v>162</v>
      </c>
      <c r="G372" s="6" t="s">
        <v>163</v>
      </c>
      <c r="H372" s="6" t="s">
        <v>163</v>
      </c>
    </row>
    <row r="373" spans="1:9" x14ac:dyDescent="0.2">
      <c r="B373" s="2" t="s">
        <v>1158</v>
      </c>
      <c r="E373" s="6" t="s">
        <v>161</v>
      </c>
      <c r="F373" s="6" t="s">
        <v>163</v>
      </c>
      <c r="G373" s="6" t="s">
        <v>162</v>
      </c>
      <c r="H373" s="6" t="s">
        <v>162</v>
      </c>
    </row>
    <row r="375" spans="1:9" x14ac:dyDescent="0.2">
      <c r="B375" s="1" t="s">
        <v>1159</v>
      </c>
    </row>
    <row r="376" spans="1:9" x14ac:dyDescent="0.2">
      <c r="B376" s="1" t="s">
        <v>1160</v>
      </c>
    </row>
    <row r="378" spans="1:9" x14ac:dyDescent="0.2">
      <c r="B378" s="1" t="s">
        <v>3289</v>
      </c>
      <c r="D378" s="6">
        <v>80</v>
      </c>
      <c r="F378" s="87" t="s">
        <v>3292</v>
      </c>
    </row>
    <row r="379" spans="1:9" x14ac:dyDescent="0.2">
      <c r="B379" s="1" t="s">
        <v>3290</v>
      </c>
      <c r="D379" s="6">
        <v>16</v>
      </c>
      <c r="F379" s="168" t="s">
        <v>3293</v>
      </c>
      <c r="G379" s="168"/>
      <c r="H379" s="168"/>
      <c r="I379" s="168">
        <v>16</v>
      </c>
    </row>
    <row r="380" spans="1:9" x14ac:dyDescent="0.2">
      <c r="B380" s="110" t="s">
        <v>3291</v>
      </c>
      <c r="C380" s="145"/>
      <c r="D380" s="145">
        <f>D378+D379</f>
        <v>96</v>
      </c>
    </row>
    <row r="383" spans="1:9" x14ac:dyDescent="0.2">
      <c r="B383" s="1" t="s">
        <v>2775</v>
      </c>
    </row>
    <row r="384" spans="1:9" x14ac:dyDescent="0.2">
      <c r="A384" s="25" t="s">
        <v>14</v>
      </c>
      <c r="B384" s="25" t="s">
        <v>114</v>
      </c>
      <c r="C384" s="36" t="s">
        <v>11</v>
      </c>
      <c r="D384" s="36" t="s">
        <v>12</v>
      </c>
      <c r="E384" s="36" t="s">
        <v>131</v>
      </c>
      <c r="F384" s="36" t="s">
        <v>9</v>
      </c>
      <c r="G384" s="36" t="s">
        <v>10</v>
      </c>
    </row>
    <row r="385" spans="1:7" x14ac:dyDescent="0.2">
      <c r="A385" s="3" t="s">
        <v>140</v>
      </c>
      <c r="B385" s="3">
        <v>100</v>
      </c>
      <c r="C385" s="157">
        <v>100</v>
      </c>
    </row>
    <row r="386" spans="1:7" x14ac:dyDescent="0.2">
      <c r="A386" s="187" t="s">
        <v>19</v>
      </c>
      <c r="B386" s="187">
        <v>50</v>
      </c>
      <c r="C386" s="169">
        <f>50+22</f>
        <v>72</v>
      </c>
    </row>
    <row r="387" spans="1:7" x14ac:dyDescent="0.2">
      <c r="A387" s="110" t="s">
        <v>75</v>
      </c>
      <c r="B387" s="110">
        <v>400</v>
      </c>
      <c r="C387" s="145"/>
      <c r="D387" s="145"/>
      <c r="E387" s="145"/>
      <c r="F387" s="145">
        <f>400+22</f>
        <v>422</v>
      </c>
      <c r="G387" s="145"/>
    </row>
    <row r="388" spans="1:7" ht="34" x14ac:dyDescent="0.2">
      <c r="A388" s="31" t="s">
        <v>975</v>
      </c>
      <c r="B388" s="3">
        <v>300</v>
      </c>
      <c r="C388" s="157">
        <v>300</v>
      </c>
    </row>
    <row r="389" spans="1:7" x14ac:dyDescent="0.2">
      <c r="A389" s="1" t="s">
        <v>21</v>
      </c>
      <c r="B389" s="1">
        <v>70</v>
      </c>
      <c r="D389" s="6">
        <v>70</v>
      </c>
    </row>
    <row r="390" spans="1:7" ht="34" x14ac:dyDescent="0.2">
      <c r="A390" s="30" t="s">
        <v>976</v>
      </c>
      <c r="B390" s="1">
        <v>200</v>
      </c>
      <c r="D390" s="6">
        <v>200</v>
      </c>
    </row>
    <row r="391" spans="1:7" ht="34" x14ac:dyDescent="0.2">
      <c r="A391" s="30" t="s">
        <v>977</v>
      </c>
      <c r="B391" s="1">
        <v>100</v>
      </c>
      <c r="D391" s="6">
        <v>100</v>
      </c>
    </row>
    <row r="392" spans="1:7" x14ac:dyDescent="0.2">
      <c r="A392" s="1" t="s">
        <v>29</v>
      </c>
      <c r="B392" s="1">
        <v>30</v>
      </c>
      <c r="E392" s="6">
        <v>30</v>
      </c>
    </row>
    <row r="393" spans="1:7" x14ac:dyDescent="0.2">
      <c r="A393" s="1" t="s">
        <v>268</v>
      </c>
      <c r="B393" s="1">
        <v>220</v>
      </c>
      <c r="G393" s="6">
        <v>220</v>
      </c>
    </row>
    <row r="394" spans="1:7" x14ac:dyDescent="0.2">
      <c r="A394" s="1" t="s">
        <v>88</v>
      </c>
      <c r="B394" s="1">
        <v>30</v>
      </c>
      <c r="G394" s="6">
        <v>30</v>
      </c>
    </row>
    <row r="395" spans="1:7" x14ac:dyDescent="0.2">
      <c r="A395" s="1" t="s">
        <v>978</v>
      </c>
      <c r="B395" s="1" t="s">
        <v>31</v>
      </c>
      <c r="E395" s="6">
        <v>2643</v>
      </c>
    </row>
    <row r="396" spans="1:7" x14ac:dyDescent="0.2">
      <c r="A396" s="3" t="s">
        <v>1109</v>
      </c>
      <c r="B396" s="3" t="s">
        <v>31</v>
      </c>
      <c r="C396" s="157">
        <v>1000</v>
      </c>
    </row>
    <row r="397" spans="1:7" ht="51" x14ac:dyDescent="0.2">
      <c r="A397" s="188" t="s">
        <v>1144</v>
      </c>
      <c r="B397" s="187" t="s">
        <v>31</v>
      </c>
      <c r="C397" s="169">
        <f>-75-100</f>
        <v>-175</v>
      </c>
    </row>
    <row r="398" spans="1:7" x14ac:dyDescent="0.2">
      <c r="A398" s="1" t="s">
        <v>979</v>
      </c>
      <c r="B398" s="1">
        <v>14</v>
      </c>
      <c r="G398" s="6">
        <v>-14</v>
      </c>
    </row>
    <row r="399" spans="1:7" x14ac:dyDescent="0.2">
      <c r="A399" s="1" t="s">
        <v>1110</v>
      </c>
      <c r="B399" s="1">
        <v>15</v>
      </c>
      <c r="F399" s="6">
        <v>15</v>
      </c>
    </row>
    <row r="400" spans="1:7" ht="34" x14ac:dyDescent="0.2">
      <c r="A400" s="31" t="s">
        <v>980</v>
      </c>
      <c r="B400" s="3">
        <v>1000</v>
      </c>
      <c r="C400" s="157">
        <v>1000</v>
      </c>
    </row>
    <row r="401" spans="1:7" ht="34" x14ac:dyDescent="0.2">
      <c r="A401" s="31" t="s">
        <v>981</v>
      </c>
      <c r="B401" s="3">
        <v>450</v>
      </c>
      <c r="C401" s="157">
        <v>450</v>
      </c>
    </row>
    <row r="402" spans="1:7" x14ac:dyDescent="0.2">
      <c r="A402" s="3" t="s">
        <v>24</v>
      </c>
      <c r="B402" s="3">
        <v>250</v>
      </c>
      <c r="C402" s="157">
        <v>250</v>
      </c>
    </row>
    <row r="403" spans="1:7" x14ac:dyDescent="0.2">
      <c r="A403" s="1" t="s">
        <v>982</v>
      </c>
      <c r="B403" s="1">
        <v>10</v>
      </c>
      <c r="G403" s="6">
        <v>10</v>
      </c>
    </row>
    <row r="404" spans="1:7" x14ac:dyDescent="0.2">
      <c r="A404" s="1" t="s">
        <v>983</v>
      </c>
      <c r="B404" s="1">
        <v>12</v>
      </c>
      <c r="F404" s="6">
        <v>12</v>
      </c>
    </row>
    <row r="405" spans="1:7" ht="34" x14ac:dyDescent="0.2">
      <c r="A405" s="30" t="s">
        <v>984</v>
      </c>
      <c r="B405" s="1">
        <v>17</v>
      </c>
      <c r="G405" s="6">
        <v>17</v>
      </c>
    </row>
    <row r="406" spans="1:7" x14ac:dyDescent="0.2">
      <c r="A406" s="110" t="s">
        <v>985</v>
      </c>
      <c r="B406" s="110">
        <v>80</v>
      </c>
      <c r="C406" s="145"/>
      <c r="D406" s="145"/>
      <c r="E406" s="145"/>
      <c r="F406" s="145"/>
      <c r="G406" s="145">
        <f>80+16</f>
        <v>96</v>
      </c>
    </row>
    <row r="407" spans="1:7" x14ac:dyDescent="0.2">
      <c r="A407" s="1" t="s">
        <v>986</v>
      </c>
      <c r="B407" s="1">
        <v>11</v>
      </c>
      <c r="G407" s="6">
        <v>11</v>
      </c>
    </row>
    <row r="408" spans="1:7" x14ac:dyDescent="0.2">
      <c r="A408" s="1" t="s">
        <v>987</v>
      </c>
      <c r="B408" s="1">
        <v>7</v>
      </c>
      <c r="G408" s="6">
        <v>7</v>
      </c>
    </row>
    <row r="409" spans="1:7" ht="34" x14ac:dyDescent="0.2">
      <c r="A409" s="30" t="s">
        <v>988</v>
      </c>
      <c r="B409" s="1">
        <v>9</v>
      </c>
      <c r="G409" s="6">
        <v>9</v>
      </c>
    </row>
    <row r="410" spans="1:7" x14ac:dyDescent="0.2">
      <c r="A410" s="1" t="s">
        <v>989</v>
      </c>
      <c r="B410" s="1">
        <v>5</v>
      </c>
      <c r="G410" s="6">
        <v>5</v>
      </c>
    </row>
    <row r="411" spans="1:7" x14ac:dyDescent="0.2">
      <c r="A411" s="1" t="s">
        <v>990</v>
      </c>
      <c r="B411" s="1">
        <v>12</v>
      </c>
      <c r="F411" s="6">
        <v>-12</v>
      </c>
    </row>
    <row r="412" spans="1:7" x14ac:dyDescent="0.2">
      <c r="A412" s="1" t="s">
        <v>1111</v>
      </c>
      <c r="B412" s="1">
        <v>8</v>
      </c>
      <c r="F412" s="6">
        <v>-8</v>
      </c>
    </row>
    <row r="413" spans="1:7" ht="68" x14ac:dyDescent="0.2">
      <c r="A413" s="31" t="s">
        <v>1112</v>
      </c>
      <c r="B413" s="3" t="s">
        <v>31</v>
      </c>
      <c r="C413" s="157">
        <v>20</v>
      </c>
    </row>
    <row r="414" spans="1:7" x14ac:dyDescent="0.2">
      <c r="A414" s="1" t="s">
        <v>1113</v>
      </c>
      <c r="B414" s="1" t="s">
        <v>31</v>
      </c>
      <c r="G414" s="6">
        <v>-20</v>
      </c>
    </row>
    <row r="415" spans="1:7" x14ac:dyDescent="0.2">
      <c r="A415" s="110" t="s">
        <v>1944</v>
      </c>
      <c r="G415" s="145">
        <v>100</v>
      </c>
    </row>
    <row r="416" spans="1:7" ht="35" customHeight="1" x14ac:dyDescent="0.2">
      <c r="A416" s="625" t="s">
        <v>2776</v>
      </c>
      <c r="B416" s="625"/>
      <c r="D416" s="145">
        <v>16</v>
      </c>
    </row>
    <row r="417" spans="1:8" ht="17" thickBot="1" x14ac:dyDescent="0.25"/>
    <row r="418" spans="1:8" ht="24" thickBot="1" x14ac:dyDescent="0.3">
      <c r="A418" s="621" t="s">
        <v>1162</v>
      </c>
      <c r="B418" s="622"/>
      <c r="C418" s="622"/>
      <c r="D418" s="622"/>
      <c r="E418" s="622"/>
      <c r="F418" s="622"/>
      <c r="G418" s="622"/>
      <c r="H418" s="623"/>
    </row>
    <row r="420" spans="1:8" x14ac:dyDescent="0.2">
      <c r="A420" s="2" t="s">
        <v>1163</v>
      </c>
    </row>
    <row r="422" spans="1:8" s="2" customFormat="1" x14ac:dyDescent="0.2">
      <c r="A422" s="7" t="s">
        <v>11</v>
      </c>
      <c r="B422" s="7"/>
      <c r="C422" s="156"/>
      <c r="D422" s="150"/>
      <c r="E422" s="186" t="s">
        <v>1066</v>
      </c>
      <c r="F422" s="156"/>
      <c r="G422" s="156"/>
      <c r="H422" s="7"/>
    </row>
    <row r="424" spans="1:8" x14ac:dyDescent="0.2">
      <c r="A424" s="2" t="s">
        <v>1164</v>
      </c>
      <c r="C424" s="6" t="s">
        <v>1024</v>
      </c>
      <c r="E424" s="397" t="s">
        <v>1166</v>
      </c>
      <c r="F424" s="15"/>
      <c r="G424" s="15" t="s">
        <v>1024</v>
      </c>
    </row>
    <row r="425" spans="1:8" x14ac:dyDescent="0.2">
      <c r="A425" s="13" t="s">
        <v>140</v>
      </c>
      <c r="B425" s="13"/>
      <c r="C425" s="15">
        <v>100</v>
      </c>
      <c r="E425" s="259" t="s">
        <v>21</v>
      </c>
      <c r="F425" s="15"/>
      <c r="G425" s="15">
        <f>D389</f>
        <v>70</v>
      </c>
    </row>
    <row r="426" spans="1:8" x14ac:dyDescent="0.2">
      <c r="A426" s="13" t="s">
        <v>19</v>
      </c>
      <c r="B426" s="13"/>
      <c r="C426" s="15">
        <v>72</v>
      </c>
      <c r="E426" s="259" t="s">
        <v>1185</v>
      </c>
      <c r="F426" s="15"/>
      <c r="G426" s="15">
        <f>D416</f>
        <v>16</v>
      </c>
    </row>
    <row r="427" spans="1:8" ht="17" thickBot="1" x14ac:dyDescent="0.25">
      <c r="A427" s="13" t="s">
        <v>1168</v>
      </c>
      <c r="B427" s="13"/>
      <c r="C427" s="15">
        <v>300</v>
      </c>
      <c r="E427" s="259" t="s">
        <v>27</v>
      </c>
      <c r="F427" s="15"/>
      <c r="G427" s="15">
        <f>D390</f>
        <v>200</v>
      </c>
    </row>
    <row r="428" spans="1:8" ht="17" thickBot="1" x14ac:dyDescent="0.25">
      <c r="A428" s="13" t="s">
        <v>68</v>
      </c>
      <c r="B428" s="13"/>
      <c r="C428" s="15">
        <v>20</v>
      </c>
      <c r="E428" s="259" t="s">
        <v>1186</v>
      </c>
      <c r="F428" s="15"/>
      <c r="G428" s="470">
        <f>SUM(G425:G427)</f>
        <v>286</v>
      </c>
    </row>
    <row r="429" spans="1:8" ht="17" thickBot="1" x14ac:dyDescent="0.25">
      <c r="A429" s="13" t="s">
        <v>1169</v>
      </c>
      <c r="B429" s="13"/>
      <c r="C429" s="470">
        <f>SUM(C425:C428)</f>
        <v>492</v>
      </c>
      <c r="E429" s="15"/>
      <c r="F429" s="15"/>
      <c r="G429" s="15"/>
    </row>
    <row r="430" spans="1:8" x14ac:dyDescent="0.2">
      <c r="A430" s="13"/>
      <c r="B430" s="13"/>
      <c r="C430" s="15"/>
      <c r="E430" s="15"/>
      <c r="F430" s="15"/>
      <c r="G430" s="15"/>
    </row>
    <row r="431" spans="1:8" x14ac:dyDescent="0.2">
      <c r="A431" s="14" t="s">
        <v>1165</v>
      </c>
      <c r="B431" s="13"/>
      <c r="C431" s="15"/>
      <c r="E431" s="397" t="s">
        <v>1167</v>
      </c>
      <c r="F431" s="15"/>
      <c r="G431" s="15"/>
    </row>
    <row r="432" spans="1:8" ht="17" thickBot="1" x14ac:dyDescent="0.25">
      <c r="A432" s="13" t="s">
        <v>1170</v>
      </c>
      <c r="B432" s="13"/>
      <c r="C432" s="247">
        <f>D452</f>
        <v>825</v>
      </c>
      <c r="E432" s="259" t="s">
        <v>28</v>
      </c>
      <c r="F432" s="15"/>
      <c r="G432" s="15">
        <v>100</v>
      </c>
    </row>
    <row r="433" spans="1:7" ht="17" thickBot="1" x14ac:dyDescent="0.25">
      <c r="A433" s="13" t="s">
        <v>23</v>
      </c>
      <c r="B433" s="13"/>
      <c r="C433" s="247">
        <v>1000</v>
      </c>
      <c r="E433" s="259" t="s">
        <v>1187</v>
      </c>
      <c r="F433" s="15"/>
      <c r="G433" s="470">
        <f>G432</f>
        <v>100</v>
      </c>
    </row>
    <row r="434" spans="1:7" x14ac:dyDescent="0.2">
      <c r="A434" s="13" t="s">
        <v>1177</v>
      </c>
      <c r="B434" s="13"/>
      <c r="C434" s="15">
        <v>450</v>
      </c>
    </row>
    <row r="435" spans="1:7" ht="17" thickBot="1" x14ac:dyDescent="0.25">
      <c r="A435" s="13" t="s">
        <v>1178</v>
      </c>
      <c r="B435" s="13"/>
      <c r="C435" s="15">
        <v>250</v>
      </c>
      <c r="E435" s="397" t="s">
        <v>131</v>
      </c>
      <c r="F435" s="15"/>
      <c r="G435" s="15"/>
    </row>
    <row r="436" spans="1:7" ht="17" thickBot="1" x14ac:dyDescent="0.25">
      <c r="A436" s="13" t="s">
        <v>1183</v>
      </c>
      <c r="B436" s="13"/>
      <c r="C436" s="471">
        <v>2525</v>
      </c>
      <c r="E436" s="259" t="s">
        <v>29</v>
      </c>
      <c r="F436" s="15"/>
      <c r="G436" s="15">
        <v>30</v>
      </c>
    </row>
    <row r="437" spans="1:7" ht="17" thickBot="1" x14ac:dyDescent="0.25">
      <c r="A437" s="13"/>
      <c r="B437" s="13"/>
      <c r="C437" s="15"/>
      <c r="E437" s="259" t="s">
        <v>1189</v>
      </c>
      <c r="F437" s="15"/>
      <c r="G437" s="247">
        <f>E477</f>
        <v>2601</v>
      </c>
    </row>
    <row r="438" spans="1:7" ht="17" thickBot="1" x14ac:dyDescent="0.25">
      <c r="A438" s="13"/>
      <c r="B438" s="13"/>
      <c r="C438" s="15"/>
      <c r="E438" s="15" t="s">
        <v>1194</v>
      </c>
      <c r="F438" s="15"/>
      <c r="G438" s="471">
        <f>G436+G437</f>
        <v>2631</v>
      </c>
    </row>
    <row r="439" spans="1:7" x14ac:dyDescent="0.2">
      <c r="A439" s="13"/>
      <c r="B439" s="13"/>
      <c r="C439" s="15"/>
      <c r="E439" s="317"/>
      <c r="F439" s="317"/>
      <c r="G439" s="317"/>
    </row>
    <row r="440" spans="1:7" ht="17" thickBot="1" x14ac:dyDescent="0.25">
      <c r="A440" s="13"/>
      <c r="B440" s="13"/>
      <c r="C440" s="15"/>
    </row>
    <row r="441" spans="1:7" ht="17" thickBot="1" x14ac:dyDescent="0.25">
      <c r="A441" s="275" t="s">
        <v>1184</v>
      </c>
      <c r="B441" s="13"/>
      <c r="C441" s="472">
        <f>C429+C436</f>
        <v>3017</v>
      </c>
      <c r="E441" s="87" t="s">
        <v>1193</v>
      </c>
      <c r="G441" s="472">
        <f>C441</f>
        <v>3017</v>
      </c>
    </row>
    <row r="446" spans="1:7" x14ac:dyDescent="0.2">
      <c r="A446" s="1" t="s">
        <v>1171</v>
      </c>
    </row>
    <row r="448" spans="1:7" x14ac:dyDescent="0.2">
      <c r="A448" s="2" t="s">
        <v>1172</v>
      </c>
    </row>
    <row r="449" spans="1:4" x14ac:dyDescent="0.2">
      <c r="A449" s="1" t="s">
        <v>1173</v>
      </c>
    </row>
    <row r="450" spans="1:4" x14ac:dyDescent="0.2">
      <c r="B450" s="1" t="s">
        <v>1174</v>
      </c>
      <c r="D450" s="41">
        <v>1000</v>
      </c>
    </row>
    <row r="451" spans="1:4" ht="17" thickBot="1" x14ac:dyDescent="0.25">
      <c r="B451" s="1" t="s">
        <v>1175</v>
      </c>
      <c r="D451" s="44">
        <v>-175</v>
      </c>
    </row>
    <row r="452" spans="1:4" ht="17" thickBot="1" x14ac:dyDescent="0.25">
      <c r="B452" s="1" t="s">
        <v>1176</v>
      </c>
      <c r="D452" s="124">
        <f>D450+D451</f>
        <v>825</v>
      </c>
    </row>
    <row r="454" spans="1:4" x14ac:dyDescent="0.2">
      <c r="A454" s="2" t="s">
        <v>1179</v>
      </c>
    </row>
    <row r="455" spans="1:4" x14ac:dyDescent="0.2">
      <c r="A455" s="1" t="s">
        <v>1180</v>
      </c>
    </row>
    <row r="456" spans="1:4" x14ac:dyDescent="0.2">
      <c r="A456" s="1" t="s">
        <v>1181</v>
      </c>
    </row>
    <row r="457" spans="1:4" x14ac:dyDescent="0.2">
      <c r="A457" s="1" t="s">
        <v>1182</v>
      </c>
    </row>
    <row r="459" spans="1:4" x14ac:dyDescent="0.2">
      <c r="A459" s="2" t="s">
        <v>1190</v>
      </c>
    </row>
    <row r="460" spans="1:4" x14ac:dyDescent="0.2">
      <c r="A460" s="1" t="s">
        <v>1191</v>
      </c>
    </row>
    <row r="461" spans="1:4" x14ac:dyDescent="0.2">
      <c r="A461" s="1" t="s">
        <v>1192</v>
      </c>
    </row>
    <row r="463" spans="1:4" x14ac:dyDescent="0.2">
      <c r="A463" s="1" t="s">
        <v>1195</v>
      </c>
    </row>
    <row r="464" spans="1:4" x14ac:dyDescent="0.2">
      <c r="A464" s="1" t="s">
        <v>1196</v>
      </c>
    </row>
    <row r="466" spans="1:8" x14ac:dyDescent="0.2">
      <c r="B466" s="1" t="s">
        <v>1197</v>
      </c>
      <c r="C466" s="190">
        <v>3017</v>
      </c>
    </row>
    <row r="467" spans="1:8" x14ac:dyDescent="0.2">
      <c r="B467" s="1" t="s">
        <v>1198</v>
      </c>
      <c r="F467" s="165"/>
      <c r="G467" s="165" t="s">
        <v>1204</v>
      </c>
      <c r="H467" s="16"/>
    </row>
    <row r="470" spans="1:8" x14ac:dyDescent="0.2">
      <c r="E470" s="6" t="s">
        <v>1188</v>
      </c>
      <c r="F470" s="6" t="s">
        <v>29</v>
      </c>
      <c r="G470" s="6" t="s">
        <v>12</v>
      </c>
      <c r="H470" s="1" t="s">
        <v>12</v>
      </c>
    </row>
    <row r="471" spans="1:8" x14ac:dyDescent="0.2">
      <c r="E471" s="6" t="s">
        <v>1203</v>
      </c>
      <c r="F471" s="6" t="s">
        <v>1201</v>
      </c>
      <c r="G471" s="6" t="s">
        <v>1200</v>
      </c>
      <c r="H471" s="1" t="s">
        <v>1199</v>
      </c>
    </row>
    <row r="472" spans="1:8" x14ac:dyDescent="0.2">
      <c r="E472" s="6" t="s">
        <v>1201</v>
      </c>
      <c r="F472" s="6" t="s">
        <v>1202</v>
      </c>
    </row>
    <row r="473" spans="1:8" x14ac:dyDescent="0.2">
      <c r="E473" s="6" t="s">
        <v>1202</v>
      </c>
    </row>
    <row r="475" spans="1:8" x14ac:dyDescent="0.2">
      <c r="B475" s="1" t="s">
        <v>1205</v>
      </c>
    </row>
    <row r="476" spans="1:8" x14ac:dyDescent="0.2">
      <c r="F476" s="6" t="s">
        <v>1206</v>
      </c>
    </row>
    <row r="477" spans="1:8" x14ac:dyDescent="0.2">
      <c r="E477" s="41">
        <f>3017-30-100-286</f>
        <v>2601</v>
      </c>
      <c r="F477" s="6" t="s">
        <v>1207</v>
      </c>
    </row>
    <row r="480" spans="1:8" x14ac:dyDescent="0.2">
      <c r="A480" s="7" t="s">
        <v>1208</v>
      </c>
      <c r="B480" s="3"/>
      <c r="C480" s="157"/>
      <c r="D480" s="157"/>
    </row>
    <row r="482" spans="1:10" s="13" customFormat="1" x14ac:dyDescent="0.2">
      <c r="A482" s="13" t="s">
        <v>75</v>
      </c>
      <c r="C482" s="15">
        <f>D499</f>
        <v>402</v>
      </c>
      <c r="D482" s="15"/>
      <c r="E482" s="15"/>
      <c r="F482" s="15"/>
      <c r="G482" s="15"/>
    </row>
    <row r="483" spans="1:10" s="13" customFormat="1" ht="17" thickBot="1" x14ac:dyDescent="0.25">
      <c r="A483" s="13" t="s">
        <v>102</v>
      </c>
      <c r="C483" s="256">
        <f>-D510</f>
        <v>-216</v>
      </c>
      <c r="D483" s="15"/>
      <c r="E483" s="15"/>
      <c r="F483" s="15"/>
      <c r="G483" s="15"/>
    </row>
    <row r="484" spans="1:10" s="13" customFormat="1" ht="17" thickBot="1" x14ac:dyDescent="0.25">
      <c r="A484" s="13" t="s">
        <v>78</v>
      </c>
      <c r="C484" s="473">
        <f>C482+C483</f>
        <v>186</v>
      </c>
      <c r="D484" s="259" t="s">
        <v>1227</v>
      </c>
      <c r="E484" s="15"/>
      <c r="F484" s="15"/>
      <c r="G484" s="15"/>
      <c r="I484" s="474" t="s">
        <v>1256</v>
      </c>
    </row>
    <row r="485" spans="1:10" s="13" customFormat="1" x14ac:dyDescent="0.2">
      <c r="A485" s="13" t="s">
        <v>1209</v>
      </c>
      <c r="C485" s="256">
        <f>-D518</f>
        <v>-26</v>
      </c>
      <c r="D485" s="15"/>
      <c r="E485" s="15"/>
      <c r="F485" s="15"/>
      <c r="G485" s="15"/>
      <c r="I485" s="13" t="s">
        <v>978</v>
      </c>
      <c r="J485" s="13">
        <f>2643</f>
        <v>2643</v>
      </c>
    </row>
    <row r="486" spans="1:10" s="13" customFormat="1" ht="17" thickBot="1" x14ac:dyDescent="0.25">
      <c r="A486" s="13" t="s">
        <v>1210</v>
      </c>
      <c r="C486" s="256">
        <f>-G527</f>
        <v>-219</v>
      </c>
      <c r="D486" s="15"/>
      <c r="E486" s="15"/>
      <c r="F486" s="15"/>
      <c r="G486" s="15"/>
      <c r="I486" s="13" t="s">
        <v>1257</v>
      </c>
      <c r="J486" s="255">
        <v>-42</v>
      </c>
    </row>
    <row r="487" spans="1:10" s="13" customFormat="1" ht="17" thickBot="1" x14ac:dyDescent="0.25">
      <c r="A487" s="13" t="s">
        <v>1211</v>
      </c>
      <c r="C487" s="15">
        <v>0</v>
      </c>
      <c r="D487" s="15"/>
      <c r="E487" s="15"/>
      <c r="F487" s="15"/>
      <c r="G487" s="15"/>
      <c r="I487" s="13" t="s">
        <v>1258</v>
      </c>
      <c r="J487" s="474">
        <f>J485+J486</f>
        <v>2601</v>
      </c>
    </row>
    <row r="488" spans="1:10" s="13" customFormat="1" ht="17" thickBot="1" x14ac:dyDescent="0.25">
      <c r="A488" s="13" t="s">
        <v>1252</v>
      </c>
      <c r="C488" s="473">
        <f>C484+C485+C486+C487</f>
        <v>-59</v>
      </c>
      <c r="D488" s="15"/>
      <c r="E488" s="15"/>
      <c r="F488" s="15"/>
      <c r="G488" s="15"/>
    </row>
    <row r="489" spans="1:10" s="13" customFormat="1" x14ac:dyDescent="0.2">
      <c r="A489" s="13" t="s">
        <v>1212</v>
      </c>
      <c r="C489" s="256">
        <f>-G403</f>
        <v>-10</v>
      </c>
      <c r="D489" s="259" t="s">
        <v>1254</v>
      </c>
      <c r="E489" s="15"/>
      <c r="F489" s="15"/>
      <c r="G489" s="15"/>
    </row>
    <row r="490" spans="1:10" s="13" customFormat="1" ht="17" thickBot="1" x14ac:dyDescent="0.25">
      <c r="A490" s="13" t="s">
        <v>1213</v>
      </c>
      <c r="C490" s="15">
        <f>12+F399</f>
        <v>27</v>
      </c>
      <c r="D490" s="259" t="s">
        <v>1255</v>
      </c>
      <c r="E490" s="15"/>
      <c r="F490" s="15"/>
      <c r="G490" s="15"/>
    </row>
    <row r="491" spans="1:10" s="13" customFormat="1" ht="17" thickBot="1" x14ac:dyDescent="0.25">
      <c r="A491" s="13" t="s">
        <v>1253</v>
      </c>
      <c r="C491" s="473">
        <f>C488+C489+C490</f>
        <v>-42</v>
      </c>
      <c r="D491" s="15"/>
      <c r="E491" s="15"/>
      <c r="F491" s="15"/>
      <c r="G491" s="15"/>
    </row>
    <row r="493" spans="1:10" x14ac:dyDescent="0.2">
      <c r="A493" s="1" t="s">
        <v>647</v>
      </c>
    </row>
    <row r="494" spans="1:10" x14ac:dyDescent="0.2">
      <c r="A494" s="1" t="s">
        <v>1214</v>
      </c>
    </row>
    <row r="495" spans="1:10" x14ac:dyDescent="0.2">
      <c r="C495" s="36" t="s">
        <v>1218</v>
      </c>
      <c r="D495" s="36" t="s">
        <v>1219</v>
      </c>
    </row>
    <row r="496" spans="1:10" x14ac:dyDescent="0.2">
      <c r="A496" s="1" t="s">
        <v>1215</v>
      </c>
      <c r="C496" s="6" t="s">
        <v>76</v>
      </c>
      <c r="D496" s="6">
        <v>422</v>
      </c>
    </row>
    <row r="497" spans="1:4" x14ac:dyDescent="0.2">
      <c r="A497" s="1" t="s">
        <v>123</v>
      </c>
      <c r="C497" s="6" t="s">
        <v>77</v>
      </c>
      <c r="D497" s="44">
        <v>-12</v>
      </c>
    </row>
    <row r="498" spans="1:4" ht="17" thickBot="1" x14ac:dyDescent="0.25">
      <c r="A498" s="1" t="s">
        <v>1216</v>
      </c>
      <c r="C498" s="6" t="s">
        <v>77</v>
      </c>
      <c r="D498" s="44">
        <v>-8</v>
      </c>
    </row>
    <row r="499" spans="1:4" ht="17" thickBot="1" x14ac:dyDescent="0.25">
      <c r="A499" s="1" t="s">
        <v>1217</v>
      </c>
      <c r="C499" s="6" t="s">
        <v>79</v>
      </c>
      <c r="D499" s="17">
        <f>D496+D497+D498</f>
        <v>402</v>
      </c>
    </row>
    <row r="501" spans="1:4" x14ac:dyDescent="0.2">
      <c r="A501" s="1" t="s">
        <v>1220</v>
      </c>
    </row>
    <row r="502" spans="1:4" x14ac:dyDescent="0.2">
      <c r="A502" s="1" t="s">
        <v>1221</v>
      </c>
    </row>
    <row r="503" spans="1:4" x14ac:dyDescent="0.2">
      <c r="C503" s="36" t="s">
        <v>1218</v>
      </c>
      <c r="D503" s="36" t="s">
        <v>1219</v>
      </c>
    </row>
    <row r="504" spans="1:4" x14ac:dyDescent="0.2">
      <c r="A504" s="1" t="s">
        <v>1222</v>
      </c>
      <c r="C504" s="6" t="s">
        <v>76</v>
      </c>
      <c r="D504" s="44">
        <f>G394</f>
        <v>30</v>
      </c>
    </row>
    <row r="505" spans="1:4" x14ac:dyDescent="0.2">
      <c r="A505" s="1" t="s">
        <v>1223</v>
      </c>
      <c r="C505" s="6" t="s">
        <v>76</v>
      </c>
      <c r="D505" s="44">
        <f>G393</f>
        <v>220</v>
      </c>
    </row>
    <row r="506" spans="1:4" x14ac:dyDescent="0.2">
      <c r="A506" s="1" t="s">
        <v>1224</v>
      </c>
      <c r="C506" s="6" t="s">
        <v>76</v>
      </c>
      <c r="D506" s="44">
        <v>0</v>
      </c>
    </row>
    <row r="507" spans="1:4" x14ac:dyDescent="0.2">
      <c r="A507" s="1" t="s">
        <v>107</v>
      </c>
      <c r="C507" s="6" t="s">
        <v>77</v>
      </c>
      <c r="D507" s="44">
        <v>-14</v>
      </c>
    </row>
    <row r="508" spans="1:4" x14ac:dyDescent="0.2">
      <c r="A508" s="1" t="s">
        <v>108</v>
      </c>
      <c r="C508" s="6" t="s">
        <v>77</v>
      </c>
      <c r="D508" s="44">
        <v>0</v>
      </c>
    </row>
    <row r="509" spans="1:4" ht="17" thickBot="1" x14ac:dyDescent="0.25">
      <c r="A509" s="1" t="s">
        <v>1225</v>
      </c>
      <c r="C509" s="6" t="s">
        <v>77</v>
      </c>
      <c r="D509" s="44">
        <v>-20</v>
      </c>
    </row>
    <row r="510" spans="1:4" ht="17" thickBot="1" x14ac:dyDescent="0.25">
      <c r="A510" s="1" t="s">
        <v>1226</v>
      </c>
      <c r="C510" s="6" t="s">
        <v>79</v>
      </c>
      <c r="D510" s="140">
        <f>SUM(D504:D509)</f>
        <v>216</v>
      </c>
    </row>
    <row r="512" spans="1:4" x14ac:dyDescent="0.2">
      <c r="A512" s="1" t="s">
        <v>1228</v>
      </c>
    </row>
    <row r="513" spans="1:7" x14ac:dyDescent="0.2">
      <c r="A513" s="1" t="s">
        <v>1229</v>
      </c>
    </row>
    <row r="514" spans="1:7" x14ac:dyDescent="0.2">
      <c r="A514" s="1" t="s">
        <v>1230</v>
      </c>
    </row>
    <row r="515" spans="1:7" x14ac:dyDescent="0.2">
      <c r="D515" s="36" t="s">
        <v>1219</v>
      </c>
    </row>
    <row r="516" spans="1:7" x14ac:dyDescent="0.2">
      <c r="A516" s="1" t="s">
        <v>270</v>
      </c>
      <c r="D516" s="6">
        <v>17</v>
      </c>
    </row>
    <row r="517" spans="1:7" ht="17" thickBot="1" x14ac:dyDescent="0.25">
      <c r="A517" s="1" t="s">
        <v>1231</v>
      </c>
      <c r="D517" s="6">
        <v>9</v>
      </c>
    </row>
    <row r="518" spans="1:7" ht="17" thickBot="1" x14ac:dyDescent="0.25">
      <c r="A518" s="1" t="s">
        <v>1232</v>
      </c>
      <c r="D518" s="17">
        <f>D516+D517</f>
        <v>26</v>
      </c>
    </row>
    <row r="520" spans="1:7" x14ac:dyDescent="0.2">
      <c r="A520" s="1" t="s">
        <v>1233</v>
      </c>
    </row>
    <row r="521" spans="1:7" x14ac:dyDescent="0.2">
      <c r="A521" s="1" t="s">
        <v>1234</v>
      </c>
    </row>
    <row r="522" spans="1:7" x14ac:dyDescent="0.2">
      <c r="A522" s="1" t="s">
        <v>1235</v>
      </c>
      <c r="G522" s="6">
        <v>96</v>
      </c>
    </row>
    <row r="523" spans="1:7" x14ac:dyDescent="0.2">
      <c r="A523" s="1" t="s">
        <v>1236</v>
      </c>
      <c r="G523" s="6">
        <v>11</v>
      </c>
    </row>
    <row r="524" spans="1:7" x14ac:dyDescent="0.2">
      <c r="A524" s="1" t="s">
        <v>1237</v>
      </c>
      <c r="G524" s="6">
        <v>7</v>
      </c>
    </row>
    <row r="525" spans="1:7" x14ac:dyDescent="0.2">
      <c r="A525" s="1" t="s">
        <v>1238</v>
      </c>
      <c r="G525" s="6">
        <v>5</v>
      </c>
    </row>
    <row r="526" spans="1:7" ht="17" thickBot="1" x14ac:dyDescent="0.25">
      <c r="A526" s="1" t="s">
        <v>1239</v>
      </c>
      <c r="G526" s="6">
        <v>100</v>
      </c>
    </row>
    <row r="527" spans="1:7" ht="17" thickBot="1" x14ac:dyDescent="0.25">
      <c r="A527" s="1" t="s">
        <v>1240</v>
      </c>
      <c r="G527" s="17">
        <f>SUM(G522:G526)</f>
        <v>219</v>
      </c>
    </row>
    <row r="529" spans="1:8" x14ac:dyDescent="0.2">
      <c r="A529" s="1" t="s">
        <v>1241</v>
      </c>
    </row>
    <row r="530" spans="1:8" x14ac:dyDescent="0.2">
      <c r="A530" s="1" t="s">
        <v>1242</v>
      </c>
    </row>
    <row r="531" spans="1:8" x14ac:dyDescent="0.2">
      <c r="A531" s="1" t="s">
        <v>1243</v>
      </c>
    </row>
    <row r="532" spans="1:8" x14ac:dyDescent="0.2">
      <c r="A532" s="1" t="s">
        <v>1244</v>
      </c>
    </row>
    <row r="533" spans="1:8" x14ac:dyDescent="0.2">
      <c r="A533" s="1" t="s">
        <v>1245</v>
      </c>
    </row>
    <row r="534" spans="1:8" x14ac:dyDescent="0.2">
      <c r="A534" s="1" t="s">
        <v>1246</v>
      </c>
    </row>
    <row r="536" spans="1:8" x14ac:dyDescent="0.2">
      <c r="A536" s="1" t="s">
        <v>1247</v>
      </c>
    </row>
    <row r="537" spans="1:8" x14ac:dyDescent="0.2">
      <c r="A537" s="1" t="s">
        <v>1248</v>
      </c>
    </row>
    <row r="538" spans="1:8" x14ac:dyDescent="0.2">
      <c r="A538" s="1" t="s">
        <v>1249</v>
      </c>
    </row>
    <row r="539" spans="1:8" x14ac:dyDescent="0.2">
      <c r="A539" s="1" t="s">
        <v>1250</v>
      </c>
    </row>
    <row r="541" spans="1:8" x14ac:dyDescent="0.2">
      <c r="A541" s="1" t="s">
        <v>1251</v>
      </c>
    </row>
    <row r="543" spans="1:8" x14ac:dyDescent="0.2">
      <c r="A543" s="85" t="s">
        <v>2777</v>
      </c>
      <c r="B543" s="16"/>
      <c r="C543" s="165"/>
      <c r="D543" s="165"/>
      <c r="E543" s="165"/>
      <c r="F543" s="165"/>
      <c r="G543" s="165"/>
      <c r="H543" s="16"/>
    </row>
    <row r="545" spans="1:10" x14ac:dyDescent="0.2">
      <c r="A545" s="2" t="s">
        <v>2778</v>
      </c>
    </row>
    <row r="547" spans="1:10" x14ac:dyDescent="0.2">
      <c r="A547" s="548" t="s">
        <v>14</v>
      </c>
      <c r="B547" s="548" t="s">
        <v>114</v>
      </c>
      <c r="C547" s="549" t="s">
        <v>11</v>
      </c>
      <c r="D547" s="549" t="s">
        <v>12</v>
      </c>
      <c r="E547" s="549" t="s">
        <v>131</v>
      </c>
      <c r="F547" s="549" t="s">
        <v>9</v>
      </c>
      <c r="G547" s="549" t="s">
        <v>10</v>
      </c>
      <c r="H547" s="13"/>
      <c r="I547" s="13"/>
      <c r="J547" s="13"/>
    </row>
    <row r="548" spans="1:10" x14ac:dyDescent="0.2">
      <c r="A548" s="550" t="s">
        <v>1262</v>
      </c>
      <c r="B548" s="476">
        <v>500</v>
      </c>
      <c r="C548" s="15">
        <f>B548</f>
        <v>500</v>
      </c>
      <c r="D548" s="15"/>
      <c r="E548" s="15"/>
      <c r="F548" s="15"/>
      <c r="G548" s="15"/>
      <c r="H548" s="13"/>
      <c r="I548" s="13"/>
      <c r="J548" s="13"/>
    </row>
    <row r="549" spans="1:10" x14ac:dyDescent="0.2">
      <c r="A549" s="550" t="s">
        <v>1947</v>
      </c>
      <c r="B549" s="476">
        <v>40</v>
      </c>
      <c r="C549" s="15"/>
      <c r="D549" s="15"/>
      <c r="E549" s="15"/>
      <c r="F549" s="15"/>
      <c r="G549" s="15">
        <f>B549</f>
        <v>40</v>
      </c>
      <c r="H549" s="13"/>
      <c r="I549" s="13"/>
      <c r="J549" s="13"/>
    </row>
    <row r="550" spans="1:10" x14ac:dyDescent="0.2">
      <c r="A550" s="550" t="s">
        <v>19</v>
      </c>
      <c r="B550" s="476">
        <v>600</v>
      </c>
      <c r="C550" s="15">
        <f>B550</f>
        <v>600</v>
      </c>
      <c r="D550" s="15"/>
      <c r="E550" s="15"/>
      <c r="F550" s="15"/>
      <c r="G550" s="15"/>
      <c r="H550" s="13"/>
      <c r="I550" s="13"/>
      <c r="J550" s="13"/>
    </row>
    <row r="551" spans="1:10" x14ac:dyDescent="0.2">
      <c r="A551" s="550" t="s">
        <v>17</v>
      </c>
      <c r="B551" s="476">
        <v>150</v>
      </c>
      <c r="C551" s="15">
        <f>B551</f>
        <v>150</v>
      </c>
      <c r="D551" s="15"/>
      <c r="E551" s="15"/>
      <c r="F551" s="15"/>
      <c r="G551" s="15"/>
      <c r="H551" s="13"/>
      <c r="I551" s="13"/>
      <c r="J551" s="13" t="s">
        <v>998</v>
      </c>
    </row>
    <row r="552" spans="1:10" x14ac:dyDescent="0.2">
      <c r="A552" s="550" t="s">
        <v>75</v>
      </c>
      <c r="B552" s="476">
        <v>950</v>
      </c>
      <c r="C552" s="15"/>
      <c r="D552" s="15"/>
      <c r="E552" s="15"/>
      <c r="F552" s="15">
        <f>B552</f>
        <v>950</v>
      </c>
      <c r="G552" s="15"/>
      <c r="H552" s="13"/>
      <c r="I552" s="13"/>
      <c r="J552" s="13" t="s">
        <v>3294</v>
      </c>
    </row>
    <row r="553" spans="1:10" ht="17" x14ac:dyDescent="0.2">
      <c r="A553" s="475" t="s">
        <v>2096</v>
      </c>
      <c r="B553" s="476">
        <v>100</v>
      </c>
      <c r="C553" s="15">
        <f>B553</f>
        <v>100</v>
      </c>
      <c r="D553" s="15"/>
      <c r="E553" s="15"/>
      <c r="F553" s="15"/>
      <c r="G553" s="15"/>
      <c r="H553" s="13"/>
      <c r="I553" s="13"/>
      <c r="J553" s="13" t="s">
        <v>3295</v>
      </c>
    </row>
    <row r="554" spans="1:10" x14ac:dyDescent="0.2">
      <c r="A554" s="550" t="s">
        <v>21</v>
      </c>
      <c r="B554" s="476">
        <v>70</v>
      </c>
      <c r="C554" s="15"/>
      <c r="D554" s="15">
        <f>B554</f>
        <v>70</v>
      </c>
      <c r="E554" s="15"/>
      <c r="F554" s="15"/>
      <c r="G554" s="15"/>
      <c r="H554" s="13"/>
      <c r="I554" s="13"/>
      <c r="J554" s="13"/>
    </row>
    <row r="555" spans="1:10" ht="17" x14ac:dyDescent="0.2">
      <c r="A555" s="475" t="s">
        <v>2097</v>
      </c>
      <c r="B555" s="476">
        <v>15</v>
      </c>
      <c r="C555" s="15"/>
      <c r="D555" s="15">
        <f>B555</f>
        <v>15</v>
      </c>
      <c r="E555" s="15"/>
      <c r="F555" s="15"/>
      <c r="G555" s="15"/>
      <c r="H555" s="13"/>
      <c r="I555" s="13"/>
      <c r="J555" s="13" t="s">
        <v>3296</v>
      </c>
    </row>
    <row r="556" spans="1:10" ht="17" x14ac:dyDescent="0.2">
      <c r="A556" s="475" t="s">
        <v>27</v>
      </c>
      <c r="B556" s="476">
        <v>180</v>
      </c>
      <c r="C556" s="15"/>
      <c r="D556" s="15">
        <f>B556</f>
        <v>180</v>
      </c>
      <c r="E556" s="15"/>
      <c r="F556" s="15"/>
      <c r="G556" s="15"/>
      <c r="H556" s="13"/>
      <c r="I556" s="13"/>
      <c r="J556" s="13"/>
    </row>
    <row r="557" spans="1:10" x14ac:dyDescent="0.2">
      <c r="A557" s="550" t="s">
        <v>29</v>
      </c>
      <c r="B557" s="476">
        <v>100</v>
      </c>
      <c r="C557" s="15"/>
      <c r="D557" s="15"/>
      <c r="E557" s="15">
        <f>B557</f>
        <v>100</v>
      </c>
      <c r="F557" s="15"/>
      <c r="G557" s="15"/>
      <c r="H557" s="13"/>
      <c r="I557" s="13"/>
      <c r="J557" s="13" t="s">
        <v>3297</v>
      </c>
    </row>
    <row r="558" spans="1:10" x14ac:dyDescent="0.2">
      <c r="A558" s="550" t="s">
        <v>268</v>
      </c>
      <c r="B558" s="476">
        <v>300</v>
      </c>
      <c r="C558" s="15"/>
      <c r="D558" s="15"/>
      <c r="E558" s="15"/>
      <c r="F558" s="15"/>
      <c r="G558" s="15">
        <f>B558</f>
        <v>300</v>
      </c>
      <c r="H558" s="13"/>
      <c r="I558" s="13"/>
      <c r="J558" s="13" t="s">
        <v>3298</v>
      </c>
    </row>
    <row r="559" spans="1:10" x14ac:dyDescent="0.2">
      <c r="A559" s="550" t="s">
        <v>1302</v>
      </c>
      <c r="B559" s="476">
        <v>60</v>
      </c>
      <c r="C559" s="15"/>
      <c r="D559" s="15"/>
      <c r="E559" s="15"/>
      <c r="F559" s="15"/>
      <c r="G559" s="15">
        <f>B559</f>
        <v>60</v>
      </c>
      <c r="H559" s="13"/>
      <c r="I559" s="13"/>
      <c r="J559" s="13"/>
    </row>
    <row r="560" spans="1:10" x14ac:dyDescent="0.2">
      <c r="A560" s="550" t="s">
        <v>1321</v>
      </c>
      <c r="B560" s="476" t="s">
        <v>31</v>
      </c>
      <c r="C560" s="15"/>
      <c r="D560" s="15"/>
      <c r="E560" s="551" t="s">
        <v>2805</v>
      </c>
      <c r="F560" s="15"/>
      <c r="G560" s="15"/>
      <c r="H560" s="13"/>
      <c r="I560" s="13"/>
      <c r="J560" s="13"/>
    </row>
    <row r="561" spans="1:10" ht="17" x14ac:dyDescent="0.2">
      <c r="A561" s="475" t="s">
        <v>1265</v>
      </c>
      <c r="B561" s="476">
        <v>400</v>
      </c>
      <c r="C561" s="15">
        <f>B561</f>
        <v>400</v>
      </c>
      <c r="D561" s="15"/>
      <c r="E561" s="15"/>
      <c r="F561" s="15"/>
      <c r="G561" s="15"/>
      <c r="H561" s="13"/>
      <c r="I561" s="13"/>
      <c r="J561" s="13"/>
    </row>
    <row r="562" spans="1:10" ht="17" x14ac:dyDescent="0.2">
      <c r="A562" s="475" t="s">
        <v>3299</v>
      </c>
      <c r="B562" s="476" t="s">
        <v>31</v>
      </c>
      <c r="C562" s="552">
        <f>-B597</f>
        <v>-37.5</v>
      </c>
      <c r="D562" s="15"/>
      <c r="E562" s="15"/>
      <c r="F562" s="15"/>
      <c r="G562" s="15"/>
      <c r="H562" s="13"/>
      <c r="I562" s="13"/>
      <c r="J562" s="13"/>
    </row>
    <row r="563" spans="1:10" ht="17" x14ac:dyDescent="0.2">
      <c r="A563" s="475" t="s">
        <v>116</v>
      </c>
      <c r="B563" s="476">
        <v>15</v>
      </c>
      <c r="C563" s="15"/>
      <c r="D563" s="15"/>
      <c r="E563" s="15"/>
      <c r="F563" s="15">
        <f>B563</f>
        <v>15</v>
      </c>
      <c r="G563" s="15"/>
      <c r="H563" s="13"/>
      <c r="I563" s="13"/>
      <c r="J563" s="13"/>
    </row>
    <row r="564" spans="1:10" ht="17" x14ac:dyDescent="0.2">
      <c r="A564" s="475" t="s">
        <v>1270</v>
      </c>
      <c r="B564" s="476">
        <v>80</v>
      </c>
      <c r="C564" s="15">
        <f>B564</f>
        <v>80</v>
      </c>
      <c r="D564" s="15"/>
      <c r="E564" s="15"/>
      <c r="F564" s="15"/>
      <c r="G564" s="15"/>
      <c r="H564" s="13"/>
      <c r="I564" s="13"/>
      <c r="J564" s="13"/>
    </row>
    <row r="565" spans="1:10" ht="17" x14ac:dyDescent="0.2">
      <c r="A565" s="475" t="s">
        <v>1949</v>
      </c>
      <c r="B565" s="476">
        <v>95</v>
      </c>
      <c r="C565" s="15">
        <f>B565</f>
        <v>95</v>
      </c>
      <c r="D565" s="15"/>
      <c r="E565" s="15"/>
      <c r="F565" s="15"/>
      <c r="G565" s="15"/>
      <c r="H565" s="13"/>
      <c r="I565" s="13"/>
      <c r="J565" s="13"/>
    </row>
    <row r="566" spans="1:10" x14ac:dyDescent="0.2">
      <c r="A566" s="550" t="s">
        <v>28</v>
      </c>
      <c r="B566" s="476">
        <v>100</v>
      </c>
      <c r="C566" s="15"/>
      <c r="D566" s="15">
        <f>B566</f>
        <v>100</v>
      </c>
      <c r="E566" s="15"/>
      <c r="F566" s="15"/>
      <c r="G566" s="15"/>
      <c r="H566" s="13"/>
      <c r="I566" s="13"/>
      <c r="J566" s="13"/>
    </row>
    <row r="567" spans="1:10" ht="17" x14ac:dyDescent="0.2">
      <c r="A567" s="475" t="s">
        <v>267</v>
      </c>
      <c r="B567" s="476">
        <v>75</v>
      </c>
      <c r="C567" s="15"/>
      <c r="D567" s="15"/>
      <c r="E567" s="15"/>
      <c r="F567" s="15"/>
      <c r="G567" s="15">
        <f>B567</f>
        <v>75</v>
      </c>
      <c r="H567" s="13"/>
      <c r="I567" s="13"/>
      <c r="J567" s="13"/>
    </row>
    <row r="568" spans="1:10" ht="17" x14ac:dyDescent="0.2">
      <c r="A568" s="475" t="s">
        <v>1274</v>
      </c>
      <c r="B568" s="476">
        <v>20</v>
      </c>
      <c r="C568" s="15"/>
      <c r="D568" s="15"/>
      <c r="E568" s="15"/>
      <c r="F568" s="15">
        <f>B568</f>
        <v>20</v>
      </c>
      <c r="G568" s="15"/>
      <c r="H568" s="13"/>
      <c r="I568" s="13"/>
      <c r="J568" s="13"/>
    </row>
    <row r="569" spans="1:10" ht="17" x14ac:dyDescent="0.2">
      <c r="A569" s="475" t="s">
        <v>1950</v>
      </c>
      <c r="B569" s="476">
        <v>45</v>
      </c>
      <c r="C569" s="15"/>
      <c r="D569" s="15"/>
      <c r="E569" s="15"/>
      <c r="F569" s="15"/>
      <c r="G569" s="15">
        <f>B569</f>
        <v>45</v>
      </c>
      <c r="H569" s="13"/>
      <c r="I569" s="13"/>
      <c r="J569" s="13"/>
    </row>
    <row r="570" spans="1:10" ht="17" x14ac:dyDescent="0.2">
      <c r="A570" s="475" t="s">
        <v>1276</v>
      </c>
      <c r="B570" s="476">
        <v>62</v>
      </c>
      <c r="C570" s="15"/>
      <c r="D570" s="15"/>
      <c r="E570" s="15"/>
      <c r="F570" s="15"/>
      <c r="G570" s="15">
        <f>B570</f>
        <v>62</v>
      </c>
      <c r="H570" s="13"/>
      <c r="I570" s="13"/>
      <c r="J570" s="13"/>
    </row>
    <row r="571" spans="1:10" ht="17" x14ac:dyDescent="0.2">
      <c r="A571" s="475" t="s">
        <v>1277</v>
      </c>
      <c r="B571" s="476">
        <v>93</v>
      </c>
      <c r="C571" s="15"/>
      <c r="D571" s="15"/>
      <c r="E571" s="15"/>
      <c r="F571" s="15"/>
      <c r="G571" s="15">
        <f>B571</f>
        <v>93</v>
      </c>
      <c r="H571" s="13"/>
      <c r="I571" s="13"/>
      <c r="J571" s="13"/>
    </row>
    <row r="572" spans="1:10" ht="17" x14ac:dyDescent="0.2">
      <c r="A572" s="475" t="s">
        <v>269</v>
      </c>
      <c r="B572" s="476">
        <v>14</v>
      </c>
      <c r="C572" s="15"/>
      <c r="D572" s="15"/>
      <c r="E572" s="15"/>
      <c r="F572" s="15"/>
      <c r="G572" s="15">
        <f>B572</f>
        <v>14</v>
      </c>
      <c r="H572" s="13"/>
      <c r="I572" s="13"/>
      <c r="J572" s="13"/>
    </row>
    <row r="573" spans="1:10" ht="17" x14ac:dyDescent="0.2">
      <c r="A573" s="475" t="s">
        <v>1951</v>
      </c>
      <c r="B573" s="476">
        <v>20</v>
      </c>
      <c r="C573" s="15"/>
      <c r="D573" s="15"/>
      <c r="E573" s="15"/>
      <c r="F573" s="15"/>
      <c r="G573" s="15">
        <f>B573</f>
        <v>20</v>
      </c>
      <c r="H573" s="13"/>
      <c r="I573" s="13"/>
      <c r="J573" s="13"/>
    </row>
    <row r="574" spans="1:10" ht="17" x14ac:dyDescent="0.2">
      <c r="A574" s="475" t="s">
        <v>3300</v>
      </c>
      <c r="B574" s="476" t="s">
        <v>31</v>
      </c>
      <c r="C574" s="553">
        <f>B605</f>
        <v>120</v>
      </c>
      <c r="D574" s="15"/>
      <c r="E574" s="15"/>
      <c r="F574" s="15"/>
      <c r="G574" s="15"/>
      <c r="H574" s="13"/>
      <c r="I574" s="13"/>
      <c r="J574" s="13"/>
    </row>
    <row r="575" spans="1:10" ht="17" x14ac:dyDescent="0.2">
      <c r="A575" s="475" t="s">
        <v>1280</v>
      </c>
      <c r="B575" s="476" t="s">
        <v>31</v>
      </c>
      <c r="C575" s="15"/>
      <c r="D575" s="15"/>
      <c r="E575" s="15"/>
      <c r="F575" s="15"/>
      <c r="G575" s="553">
        <f>-C574</f>
        <v>-120</v>
      </c>
      <c r="H575" s="13"/>
      <c r="I575" s="13"/>
      <c r="J575" s="13"/>
    </row>
    <row r="576" spans="1:10" x14ac:dyDescent="0.2">
      <c r="A576" s="13" t="s">
        <v>281</v>
      </c>
      <c r="B576" s="13"/>
      <c r="C576" s="554">
        <f>SUM(C548:C575)</f>
        <v>2007.5</v>
      </c>
      <c r="D576" s="555">
        <f t="shared" ref="D576:G576" si="1">SUM(D548:D575)</f>
        <v>365</v>
      </c>
      <c r="E576" s="555" t="s">
        <v>2797</v>
      </c>
      <c r="F576" s="555">
        <f t="shared" si="1"/>
        <v>985</v>
      </c>
      <c r="G576" s="555">
        <f t="shared" si="1"/>
        <v>589</v>
      </c>
      <c r="H576" s="13"/>
      <c r="I576" s="13"/>
      <c r="J576" s="13"/>
    </row>
    <row r="577" spans="1:10" x14ac:dyDescent="0.2">
      <c r="A577" s="13"/>
      <c r="B577" s="13"/>
      <c r="C577" s="549" t="s">
        <v>11</v>
      </c>
      <c r="D577" s="549" t="s">
        <v>12</v>
      </c>
      <c r="E577" s="549" t="s">
        <v>131</v>
      </c>
      <c r="F577" s="549" t="s">
        <v>9</v>
      </c>
      <c r="G577" s="549" t="s">
        <v>10</v>
      </c>
      <c r="H577" s="13"/>
      <c r="I577" s="13"/>
      <c r="J577" s="13"/>
    </row>
    <row r="578" spans="1:10" x14ac:dyDescent="0.2">
      <c r="A578" s="13"/>
      <c r="B578" s="13"/>
      <c r="C578" s="15"/>
      <c r="D578" s="15"/>
      <c r="E578" s="15"/>
      <c r="F578" s="15"/>
      <c r="G578" s="15"/>
      <c r="H578" s="13"/>
      <c r="I578" s="13"/>
      <c r="J578" s="13"/>
    </row>
    <row r="579" spans="1:10" x14ac:dyDescent="0.2">
      <c r="A579" s="13"/>
      <c r="B579" s="13" t="s">
        <v>2798</v>
      </c>
      <c r="C579" s="15"/>
      <c r="D579" s="15"/>
      <c r="E579" s="15"/>
      <c r="F579" s="15"/>
      <c r="G579" s="15"/>
      <c r="H579" s="13"/>
      <c r="I579" s="13"/>
      <c r="J579" s="13"/>
    </row>
    <row r="580" spans="1:10" x14ac:dyDescent="0.2">
      <c r="A580" s="13"/>
      <c r="B580" s="13"/>
      <c r="C580" s="594" t="s">
        <v>2799</v>
      </c>
      <c r="D580" s="594"/>
      <c r="E580" s="594"/>
      <c r="F580" s="594"/>
      <c r="G580" s="594"/>
      <c r="H580" s="13"/>
      <c r="I580" s="13"/>
      <c r="J580" s="13"/>
    </row>
    <row r="581" spans="1:10" x14ac:dyDescent="0.2">
      <c r="A581" s="13"/>
      <c r="B581" s="13"/>
      <c r="C581" s="15"/>
      <c r="D581" s="15"/>
      <c r="E581" s="15"/>
      <c r="F581" s="15"/>
      <c r="G581" s="15"/>
      <c r="H581" s="13"/>
      <c r="I581" s="13"/>
      <c r="J581" s="13"/>
    </row>
    <row r="582" spans="1:10" x14ac:dyDescent="0.2">
      <c r="A582" s="13"/>
      <c r="B582" s="13"/>
      <c r="C582" s="15"/>
      <c r="D582" s="15"/>
      <c r="E582" s="15"/>
      <c r="F582" s="15"/>
      <c r="G582" s="15"/>
      <c r="H582" s="13"/>
      <c r="I582" s="13"/>
      <c r="J582" s="13"/>
    </row>
    <row r="583" spans="1:10" x14ac:dyDescent="0.2">
      <c r="A583" s="13"/>
      <c r="B583" s="13"/>
      <c r="C583" s="15" t="s">
        <v>2801</v>
      </c>
      <c r="D583" s="594" t="s">
        <v>2800</v>
      </c>
      <c r="E583" s="594"/>
      <c r="F583" s="15" t="s">
        <v>12</v>
      </c>
      <c r="G583" s="15" t="s">
        <v>11</v>
      </c>
      <c r="H583" s="13"/>
      <c r="I583" s="13"/>
      <c r="J583" s="13"/>
    </row>
    <row r="584" spans="1:10" x14ac:dyDescent="0.2">
      <c r="A584" s="13"/>
      <c r="B584" s="13"/>
      <c r="C584" s="15" t="s">
        <v>2802</v>
      </c>
      <c r="D584" s="15"/>
      <c r="E584" s="15"/>
      <c r="F584" s="15"/>
      <c r="G584" s="15"/>
      <c r="H584" s="13"/>
      <c r="I584" s="13"/>
      <c r="J584" s="13"/>
    </row>
    <row r="585" spans="1:10" x14ac:dyDescent="0.2">
      <c r="A585" s="13"/>
      <c r="B585" s="13"/>
      <c r="C585" s="15" t="s">
        <v>2803</v>
      </c>
      <c r="D585" s="15"/>
      <c r="E585" s="15"/>
      <c r="F585" s="15"/>
      <c r="G585" s="15"/>
      <c r="H585" s="13"/>
      <c r="I585" s="13"/>
      <c r="J585" s="13"/>
    </row>
    <row r="586" spans="1:10" x14ac:dyDescent="0.2">
      <c r="A586" s="13"/>
      <c r="B586" s="13"/>
      <c r="C586" s="15" t="s">
        <v>10</v>
      </c>
      <c r="D586" s="15"/>
      <c r="E586" s="15"/>
      <c r="F586" s="15"/>
      <c r="G586" s="15"/>
      <c r="H586" s="13"/>
      <c r="I586" s="13"/>
      <c r="J586" s="13"/>
    </row>
    <row r="587" spans="1:10" x14ac:dyDescent="0.2">
      <c r="A587" s="13"/>
      <c r="B587" s="13"/>
      <c r="C587" s="15"/>
      <c r="D587" s="15"/>
      <c r="E587" s="15"/>
      <c r="F587" s="15"/>
      <c r="G587" s="15"/>
      <c r="H587" s="13"/>
      <c r="I587" s="13"/>
      <c r="J587" s="13"/>
    </row>
    <row r="588" spans="1:10" x14ac:dyDescent="0.2">
      <c r="A588" s="13"/>
      <c r="B588" s="13" t="s">
        <v>2804</v>
      </c>
      <c r="C588" s="15"/>
      <c r="D588" s="15"/>
      <c r="E588" s="15"/>
      <c r="F588" s="15"/>
      <c r="G588" s="15"/>
      <c r="H588" s="13"/>
      <c r="I588" s="13"/>
      <c r="J588" s="13"/>
    </row>
    <row r="589" spans="1:10" x14ac:dyDescent="0.2">
      <c r="A589" s="13"/>
      <c r="B589" s="13"/>
      <c r="C589" s="15"/>
      <c r="D589" s="15"/>
      <c r="E589" s="556">
        <f>C576-D576-100-(F576-G576)</f>
        <v>1146.5</v>
      </c>
      <c r="F589" s="15" t="s">
        <v>1075</v>
      </c>
      <c r="G589" s="15"/>
      <c r="H589" s="13"/>
      <c r="I589" s="13"/>
      <c r="J589" s="13"/>
    </row>
    <row r="590" spans="1:10" x14ac:dyDescent="0.2">
      <c r="A590" s="13"/>
      <c r="B590" s="13"/>
      <c r="C590" s="15"/>
      <c r="D590" s="15"/>
      <c r="E590" s="15"/>
      <c r="F590" s="15"/>
      <c r="G590" s="15"/>
      <c r="H590" s="13"/>
      <c r="I590" s="13"/>
      <c r="J590" s="13"/>
    </row>
    <row r="591" spans="1:10" x14ac:dyDescent="0.2">
      <c r="A591" s="14" t="s">
        <v>2779</v>
      </c>
      <c r="B591" s="13"/>
      <c r="C591" s="15"/>
      <c r="D591" s="15"/>
      <c r="E591" s="15"/>
      <c r="F591" s="15"/>
      <c r="G591" s="15"/>
      <c r="H591" s="13"/>
      <c r="I591" s="13"/>
      <c r="J591" s="13"/>
    </row>
    <row r="592" spans="1:10" x14ac:dyDescent="0.2">
      <c r="A592" s="13" t="s">
        <v>2780</v>
      </c>
      <c r="B592" s="13"/>
      <c r="C592" s="15"/>
      <c r="D592" s="15"/>
      <c r="E592" s="15"/>
      <c r="F592" s="15"/>
      <c r="G592" s="15"/>
      <c r="H592" s="13"/>
      <c r="I592" s="13"/>
      <c r="J592" s="13"/>
    </row>
    <row r="593" spans="1:10" x14ac:dyDescent="0.2">
      <c r="A593" s="13" t="s">
        <v>2782</v>
      </c>
      <c r="B593" s="15">
        <v>400</v>
      </c>
      <c r="C593" s="15"/>
      <c r="D593" s="15"/>
      <c r="E593" s="15"/>
      <c r="F593" s="15"/>
      <c r="G593" s="15"/>
      <c r="H593" s="13"/>
      <c r="I593" s="13"/>
      <c r="J593" s="13"/>
    </row>
    <row r="594" spans="1:10" x14ac:dyDescent="0.2">
      <c r="A594" s="13" t="s">
        <v>2781</v>
      </c>
      <c r="B594" s="15">
        <v>300</v>
      </c>
      <c r="C594" s="15"/>
      <c r="D594" s="15" t="s">
        <v>2113</v>
      </c>
      <c r="E594" s="15"/>
      <c r="F594" s="15"/>
      <c r="G594" s="15"/>
      <c r="H594" s="13"/>
      <c r="I594" s="13"/>
      <c r="J594" s="13"/>
    </row>
    <row r="595" spans="1:10" x14ac:dyDescent="0.2">
      <c r="A595" s="13"/>
      <c r="B595" s="13"/>
      <c r="C595" s="15"/>
      <c r="D595" s="15"/>
      <c r="E595" s="15"/>
      <c r="F595" s="15"/>
      <c r="G595" s="15"/>
      <c r="H595" s="13"/>
      <c r="I595" s="13"/>
      <c r="J595" s="13"/>
    </row>
    <row r="596" spans="1:10" x14ac:dyDescent="0.2">
      <c r="A596" s="13" t="s">
        <v>2783</v>
      </c>
      <c r="B596" s="13"/>
      <c r="C596" s="15"/>
      <c r="D596" s="15"/>
      <c r="E596" s="15"/>
      <c r="F596" s="15"/>
      <c r="G596" s="15"/>
      <c r="H596" s="13"/>
      <c r="I596" s="13"/>
      <c r="J596" s="13"/>
    </row>
    <row r="597" spans="1:10" x14ac:dyDescent="0.2">
      <c r="A597" s="13" t="s">
        <v>2785</v>
      </c>
      <c r="B597" s="480">
        <f>B594/8</f>
        <v>37.5</v>
      </c>
      <c r="C597" s="15"/>
      <c r="D597" s="15" t="s">
        <v>2784</v>
      </c>
      <c r="E597" s="15"/>
      <c r="F597" s="15"/>
      <c r="G597" s="15"/>
      <c r="H597" s="13"/>
      <c r="I597" s="13"/>
      <c r="J597" s="13"/>
    </row>
    <row r="598" spans="1:10" x14ac:dyDescent="0.2">
      <c r="A598" s="13"/>
      <c r="B598" s="13"/>
      <c r="C598" s="15"/>
      <c r="D598" s="15"/>
      <c r="E598" s="15"/>
      <c r="F598" s="15"/>
      <c r="G598" s="15"/>
      <c r="H598" s="13"/>
      <c r="I598" s="13"/>
      <c r="J598" s="13"/>
    </row>
    <row r="599" spans="1:10" x14ac:dyDescent="0.2">
      <c r="A599" s="14" t="s">
        <v>2786</v>
      </c>
      <c r="B599" s="13"/>
      <c r="C599" s="15"/>
      <c r="D599" s="15"/>
      <c r="E599" s="15"/>
      <c r="F599" s="15"/>
      <c r="G599" s="15"/>
      <c r="H599" s="13"/>
      <c r="I599" s="13"/>
      <c r="J599" s="13"/>
    </row>
    <row r="600" spans="1:10" x14ac:dyDescent="0.2">
      <c r="A600" s="13" t="s">
        <v>2787</v>
      </c>
      <c r="B600" s="13"/>
      <c r="C600" s="15"/>
      <c r="D600" s="15"/>
      <c r="E600" s="15"/>
      <c r="F600" s="15"/>
      <c r="G600" s="15"/>
      <c r="H600" s="13"/>
      <c r="I600" s="13"/>
      <c r="J600" s="13"/>
    </row>
    <row r="601" spans="1:10" x14ac:dyDescent="0.2">
      <c r="A601" s="13" t="s">
        <v>2788</v>
      </c>
      <c r="B601" s="13"/>
      <c r="C601" s="15"/>
      <c r="D601" s="15"/>
      <c r="E601" s="15"/>
      <c r="F601" s="15"/>
      <c r="G601" s="15"/>
      <c r="H601" s="13"/>
      <c r="I601" s="13"/>
      <c r="J601" s="13"/>
    </row>
    <row r="602" spans="1:10" x14ac:dyDescent="0.2">
      <c r="A602" s="13"/>
      <c r="B602" s="13" t="s">
        <v>1024</v>
      </c>
      <c r="C602" s="15"/>
      <c r="D602" s="15"/>
      <c r="E602" s="15"/>
      <c r="F602" s="15"/>
      <c r="G602" s="15"/>
      <c r="H602" s="13"/>
      <c r="I602" s="13"/>
      <c r="J602" s="13"/>
    </row>
    <row r="603" spans="1:10" x14ac:dyDescent="0.2">
      <c r="A603" s="13" t="s">
        <v>2789</v>
      </c>
      <c r="B603" s="15">
        <v>160</v>
      </c>
      <c r="C603" s="15"/>
      <c r="D603" s="15" t="s">
        <v>2790</v>
      </c>
      <c r="E603" s="15"/>
      <c r="F603" s="15"/>
      <c r="G603" s="15"/>
      <c r="H603" s="13"/>
      <c r="I603" s="13"/>
      <c r="J603" s="13"/>
    </row>
    <row r="604" spans="1:10" x14ac:dyDescent="0.2">
      <c r="A604" s="13" t="s">
        <v>2791</v>
      </c>
      <c r="B604" s="15">
        <v>120</v>
      </c>
      <c r="C604" s="15"/>
      <c r="D604" s="15" t="s">
        <v>2792</v>
      </c>
      <c r="E604" s="15"/>
      <c r="F604" s="15"/>
      <c r="G604" s="15"/>
      <c r="H604" s="13"/>
      <c r="I604" s="13"/>
      <c r="J604" s="13"/>
    </row>
    <row r="605" spans="1:10" x14ac:dyDescent="0.2">
      <c r="A605" s="13" t="s">
        <v>2793</v>
      </c>
      <c r="B605" s="480">
        <f>B604</f>
        <v>120</v>
      </c>
      <c r="C605" s="15"/>
      <c r="D605" s="15"/>
      <c r="E605" s="15"/>
      <c r="F605" s="15"/>
      <c r="G605" s="15"/>
      <c r="H605" s="13"/>
      <c r="I605" s="13"/>
      <c r="J605" s="13"/>
    </row>
    <row r="606" spans="1:10" x14ac:dyDescent="0.2">
      <c r="A606" s="13"/>
      <c r="B606" s="13"/>
      <c r="C606" s="15"/>
      <c r="D606" s="15"/>
      <c r="E606" s="15"/>
      <c r="F606" s="15"/>
      <c r="G606" s="15"/>
      <c r="H606" s="13"/>
      <c r="I606" s="13"/>
      <c r="J606" s="13"/>
    </row>
    <row r="607" spans="1:10" x14ac:dyDescent="0.2">
      <c r="A607" s="13" t="s">
        <v>2794</v>
      </c>
      <c r="B607" s="13"/>
      <c r="C607" s="15"/>
      <c r="D607" s="15"/>
      <c r="E607" s="15"/>
      <c r="F607" s="15"/>
      <c r="G607" s="15"/>
      <c r="H607" s="13"/>
      <c r="I607" s="13"/>
      <c r="J607" s="13"/>
    </row>
    <row r="608" spans="1:10" x14ac:dyDescent="0.2">
      <c r="A608" s="13" t="s">
        <v>2795</v>
      </c>
      <c r="B608" s="13"/>
      <c r="C608" s="15"/>
      <c r="D608" s="15"/>
      <c r="E608" s="15"/>
      <c r="F608" s="15"/>
      <c r="G608" s="15"/>
      <c r="H608" s="13"/>
      <c r="I608" s="13"/>
      <c r="J608" s="13"/>
    </row>
    <row r="609" spans="1:10" x14ac:dyDescent="0.2">
      <c r="A609" s="13" t="s">
        <v>2796</v>
      </c>
      <c r="B609" s="13"/>
      <c r="C609" s="15"/>
      <c r="D609" s="15"/>
      <c r="E609" s="15"/>
      <c r="F609" s="15"/>
      <c r="G609" s="15"/>
      <c r="H609" s="13"/>
      <c r="I609" s="13"/>
      <c r="J609" s="13"/>
    </row>
    <row r="610" spans="1:10" x14ac:dyDescent="0.2">
      <c r="A610" s="13"/>
      <c r="B610" s="13"/>
      <c r="C610" s="15"/>
      <c r="D610" s="15"/>
      <c r="E610" s="15"/>
      <c r="F610" s="15"/>
      <c r="G610" s="15"/>
      <c r="H610" s="13"/>
      <c r="I610" s="13"/>
      <c r="J610" s="13"/>
    </row>
  </sheetData>
  <mergeCells count="11">
    <mergeCell ref="C580:G580"/>
    <mergeCell ref="D583:E583"/>
    <mergeCell ref="A418:H418"/>
    <mergeCell ref="A232:H232"/>
    <mergeCell ref="A1:H1"/>
    <mergeCell ref="E159:E160"/>
    <mergeCell ref="F159:F160"/>
    <mergeCell ref="D228:F228"/>
    <mergeCell ref="A149:H149"/>
    <mergeCell ref="A416:B416"/>
    <mergeCell ref="H124:I124"/>
  </mergeCells>
  <pageMargins left="0.7" right="0.7" top="0.75" bottom="0.75" header="0.3" footer="0.3"/>
  <drawing r:id="rId1"/>
  <legacy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272DA8-0EB1-CC41-A750-A79510D644C5}">
  <dimension ref="A1:L356"/>
  <sheetViews>
    <sheetView rightToLeft="1" zoomScale="181" workbookViewId="0">
      <selection activeCell="I283" sqref="I283"/>
    </sheetView>
  </sheetViews>
  <sheetFormatPr baseColWidth="10" defaultRowHeight="16" x14ac:dyDescent="0.2"/>
  <cols>
    <col min="1" max="1" width="33" style="1" customWidth="1"/>
    <col min="2" max="16384" width="10.83203125" style="1"/>
  </cols>
  <sheetData>
    <row r="1" spans="1:8" x14ac:dyDescent="0.2">
      <c r="A1" s="616" t="s">
        <v>3301</v>
      </c>
      <c r="B1" s="616"/>
      <c r="C1" s="616"/>
      <c r="D1" s="616"/>
      <c r="E1" s="616"/>
      <c r="F1" s="616"/>
      <c r="G1" s="616"/>
      <c r="H1" s="616"/>
    </row>
    <row r="3" spans="1:8" x14ac:dyDescent="0.2">
      <c r="A3" s="2" t="s">
        <v>1945</v>
      </c>
    </row>
    <row r="5" spans="1:8" x14ac:dyDescent="0.2">
      <c r="A5" s="2" t="s">
        <v>1946</v>
      </c>
    </row>
    <row r="7" spans="1:8" ht="17" thickBot="1" x14ac:dyDescent="0.25">
      <c r="A7" s="319" t="s">
        <v>14</v>
      </c>
      <c r="B7" s="319" t="s">
        <v>114</v>
      </c>
      <c r="C7" s="103" t="s">
        <v>11</v>
      </c>
      <c r="D7" s="103" t="s">
        <v>12</v>
      </c>
      <c r="E7" s="103" t="s">
        <v>1640</v>
      </c>
      <c r="F7" s="103" t="s">
        <v>9</v>
      </c>
      <c r="G7" s="103" t="s">
        <v>10</v>
      </c>
    </row>
    <row r="8" spans="1:8" x14ac:dyDescent="0.2">
      <c r="A8" s="320" t="s">
        <v>1262</v>
      </c>
      <c r="B8" s="321">
        <v>320</v>
      </c>
    </row>
    <row r="9" spans="1:8" x14ac:dyDescent="0.2">
      <c r="A9" s="320" t="s">
        <v>1947</v>
      </c>
      <c r="B9" s="321">
        <v>80</v>
      </c>
    </row>
    <row r="10" spans="1:8" x14ac:dyDescent="0.2">
      <c r="A10" s="320" t="s">
        <v>19</v>
      </c>
      <c r="B10" s="321">
        <v>500</v>
      </c>
    </row>
    <row r="11" spans="1:8" x14ac:dyDescent="0.2">
      <c r="A11" s="320" t="s">
        <v>17</v>
      </c>
      <c r="B11" s="321">
        <v>300</v>
      </c>
    </row>
    <row r="12" spans="1:8" x14ac:dyDescent="0.2">
      <c r="A12" s="320" t="s">
        <v>75</v>
      </c>
      <c r="B12" s="321">
        <v>700</v>
      </c>
    </row>
    <row r="13" spans="1:8" x14ac:dyDescent="0.2">
      <c r="A13" s="320" t="s">
        <v>21</v>
      </c>
      <c r="B13" s="321">
        <v>20</v>
      </c>
    </row>
    <row r="14" spans="1:8" ht="17" x14ac:dyDescent="0.2">
      <c r="A14" s="322" t="s">
        <v>1948</v>
      </c>
      <c r="B14" s="321">
        <v>30</v>
      </c>
    </row>
    <row r="15" spans="1:8" ht="17" x14ac:dyDescent="0.2">
      <c r="A15" s="322" t="s">
        <v>27</v>
      </c>
      <c r="B15" s="321">
        <v>50</v>
      </c>
    </row>
    <row r="16" spans="1:8" x14ac:dyDescent="0.2">
      <c r="A16" s="320" t="s">
        <v>29</v>
      </c>
      <c r="B16" s="321">
        <v>90</v>
      </c>
    </row>
    <row r="17" spans="1:2" x14ac:dyDescent="0.2">
      <c r="A17" s="320" t="s">
        <v>268</v>
      </c>
      <c r="B17" s="321">
        <v>300</v>
      </c>
    </row>
    <row r="18" spans="1:2" x14ac:dyDescent="0.2">
      <c r="A18" s="320" t="s">
        <v>1302</v>
      </c>
      <c r="B18" s="321">
        <v>50</v>
      </c>
    </row>
    <row r="19" spans="1:2" x14ac:dyDescent="0.2">
      <c r="A19" s="320" t="s">
        <v>1321</v>
      </c>
      <c r="B19" s="321" t="s">
        <v>31</v>
      </c>
    </row>
    <row r="20" spans="1:2" ht="17" x14ac:dyDescent="0.2">
      <c r="A20" s="322" t="s">
        <v>1265</v>
      </c>
      <c r="B20" s="321">
        <v>600</v>
      </c>
    </row>
    <row r="21" spans="1:2" ht="17" x14ac:dyDescent="0.2">
      <c r="A21" s="322" t="s">
        <v>1266</v>
      </c>
      <c r="B21" s="321" t="s">
        <v>31</v>
      </c>
    </row>
    <row r="22" spans="1:2" ht="17" x14ac:dyDescent="0.2">
      <c r="A22" s="322" t="s">
        <v>116</v>
      </c>
      <c r="B22" s="321">
        <v>20</v>
      </c>
    </row>
    <row r="23" spans="1:2" ht="17" x14ac:dyDescent="0.2">
      <c r="A23" s="322" t="s">
        <v>1270</v>
      </c>
      <c r="B23" s="321">
        <v>100</v>
      </c>
    </row>
    <row r="24" spans="1:2" ht="17" x14ac:dyDescent="0.2">
      <c r="A24" s="322" t="s">
        <v>1949</v>
      </c>
      <c r="B24" s="321">
        <v>50</v>
      </c>
    </row>
    <row r="25" spans="1:2" x14ac:dyDescent="0.2">
      <c r="A25" s="320" t="s">
        <v>28</v>
      </c>
      <c r="B25" s="321">
        <v>100</v>
      </c>
    </row>
    <row r="26" spans="1:2" ht="17" x14ac:dyDescent="0.2">
      <c r="A26" s="322" t="s">
        <v>267</v>
      </c>
      <c r="B26" s="321">
        <v>20</v>
      </c>
    </row>
    <row r="27" spans="1:2" ht="17" x14ac:dyDescent="0.2">
      <c r="A27" s="322" t="s">
        <v>1274</v>
      </c>
      <c r="B27" s="321">
        <v>80</v>
      </c>
    </row>
    <row r="28" spans="1:2" ht="17" x14ac:dyDescent="0.2">
      <c r="A28" s="322" t="s">
        <v>1950</v>
      </c>
      <c r="B28" s="321">
        <v>20</v>
      </c>
    </row>
    <row r="29" spans="1:2" ht="17" x14ac:dyDescent="0.2">
      <c r="A29" s="322" t="s">
        <v>1276</v>
      </c>
      <c r="B29" s="321">
        <v>10</v>
      </c>
    </row>
    <row r="30" spans="1:2" ht="17" x14ac:dyDescent="0.2">
      <c r="A30" s="322" t="s">
        <v>1277</v>
      </c>
      <c r="B30" s="321">
        <v>30</v>
      </c>
    </row>
    <row r="31" spans="1:2" ht="17" x14ac:dyDescent="0.2">
      <c r="A31" s="322" t="s">
        <v>269</v>
      </c>
      <c r="B31" s="321">
        <v>15</v>
      </c>
    </row>
    <row r="32" spans="1:2" ht="17" x14ac:dyDescent="0.2">
      <c r="A32" s="322" t="s">
        <v>1951</v>
      </c>
      <c r="B32" s="321">
        <v>22</v>
      </c>
    </row>
    <row r="33" spans="1:7" ht="17" x14ac:dyDescent="0.2">
      <c r="A33" s="322" t="s">
        <v>1279</v>
      </c>
      <c r="B33" s="321" t="s">
        <v>31</v>
      </c>
    </row>
    <row r="34" spans="1:7" ht="17" x14ac:dyDescent="0.2">
      <c r="A34" s="322" t="s">
        <v>1280</v>
      </c>
      <c r="B34" s="321" t="s">
        <v>31</v>
      </c>
    </row>
    <row r="36" spans="1:7" x14ac:dyDescent="0.2">
      <c r="A36" s="2" t="s">
        <v>1952</v>
      </c>
    </row>
    <row r="38" spans="1:7" ht="17" thickBot="1" x14ac:dyDescent="0.25">
      <c r="A38" s="319" t="s">
        <v>14</v>
      </c>
      <c r="B38" s="319" t="s">
        <v>114</v>
      </c>
      <c r="C38" s="103" t="s">
        <v>11</v>
      </c>
      <c r="D38" s="103" t="s">
        <v>12</v>
      </c>
      <c r="E38" s="103" t="s">
        <v>1640</v>
      </c>
      <c r="F38" s="103" t="s">
        <v>9</v>
      </c>
      <c r="G38" s="103" t="s">
        <v>10</v>
      </c>
    </row>
    <row r="39" spans="1:7" s="13" customFormat="1" x14ac:dyDescent="0.2">
      <c r="A39" s="550" t="s">
        <v>1262</v>
      </c>
      <c r="B39" s="476">
        <v>320</v>
      </c>
      <c r="C39" s="13">
        <f>B39</f>
        <v>320</v>
      </c>
    </row>
    <row r="40" spans="1:7" s="13" customFormat="1" x14ac:dyDescent="0.2">
      <c r="A40" s="550" t="s">
        <v>1947</v>
      </c>
      <c r="B40" s="476">
        <v>80</v>
      </c>
      <c r="G40" s="13">
        <f>B40</f>
        <v>80</v>
      </c>
    </row>
    <row r="41" spans="1:7" s="13" customFormat="1" x14ac:dyDescent="0.2">
      <c r="A41" s="550" t="s">
        <v>19</v>
      </c>
      <c r="B41" s="476">
        <v>500</v>
      </c>
      <c r="C41" s="13">
        <f>B41</f>
        <v>500</v>
      </c>
    </row>
    <row r="42" spans="1:7" s="13" customFormat="1" x14ac:dyDescent="0.2">
      <c r="A42" s="550" t="s">
        <v>17</v>
      </c>
      <c r="B42" s="476">
        <v>300</v>
      </c>
      <c r="C42" s="13">
        <f>B42</f>
        <v>300</v>
      </c>
    </row>
    <row r="43" spans="1:7" s="13" customFormat="1" x14ac:dyDescent="0.2">
      <c r="A43" s="550" t="s">
        <v>75</v>
      </c>
      <c r="B43" s="476">
        <v>700</v>
      </c>
      <c r="F43" s="13">
        <f>B43</f>
        <v>700</v>
      </c>
    </row>
    <row r="44" spans="1:7" s="13" customFormat="1" x14ac:dyDescent="0.2">
      <c r="A44" s="550" t="s">
        <v>21</v>
      </c>
      <c r="B44" s="476">
        <v>20</v>
      </c>
      <c r="D44" s="13">
        <f>B44</f>
        <v>20</v>
      </c>
    </row>
    <row r="45" spans="1:7" s="13" customFormat="1" ht="17" x14ac:dyDescent="0.2">
      <c r="A45" s="475" t="s">
        <v>1948</v>
      </c>
      <c r="B45" s="476">
        <v>30</v>
      </c>
      <c r="C45" s="13">
        <f>B45</f>
        <v>30</v>
      </c>
    </row>
    <row r="46" spans="1:7" s="13" customFormat="1" ht="17" x14ac:dyDescent="0.2">
      <c r="A46" s="475" t="s">
        <v>27</v>
      </c>
      <c r="B46" s="476">
        <v>50</v>
      </c>
      <c r="D46" s="13">
        <f>B46</f>
        <v>50</v>
      </c>
    </row>
    <row r="47" spans="1:7" s="13" customFormat="1" x14ac:dyDescent="0.2">
      <c r="A47" s="550" t="s">
        <v>29</v>
      </c>
      <c r="B47" s="476">
        <v>90</v>
      </c>
      <c r="E47" s="13">
        <f>B47</f>
        <v>90</v>
      </c>
    </row>
    <row r="48" spans="1:7" s="13" customFormat="1" x14ac:dyDescent="0.2">
      <c r="A48" s="550" t="s">
        <v>268</v>
      </c>
      <c r="B48" s="476">
        <v>300</v>
      </c>
      <c r="G48" s="13">
        <f>B48</f>
        <v>300</v>
      </c>
    </row>
    <row r="49" spans="1:7" s="13" customFormat="1" ht="17" thickBot="1" x14ac:dyDescent="0.25">
      <c r="A49" s="550" t="s">
        <v>1302</v>
      </c>
      <c r="B49" s="476">
        <v>50</v>
      </c>
      <c r="G49" s="13">
        <f>B49</f>
        <v>50</v>
      </c>
    </row>
    <row r="50" spans="1:7" ht="17" thickBot="1" x14ac:dyDescent="0.25">
      <c r="A50" s="320" t="s">
        <v>1321</v>
      </c>
      <c r="B50" s="321" t="s">
        <v>31</v>
      </c>
      <c r="C50" s="12"/>
      <c r="D50" s="12"/>
      <c r="E50" s="557">
        <f>D135</f>
        <v>1124.5</v>
      </c>
      <c r="F50" s="12"/>
      <c r="G50" s="12"/>
    </row>
    <row r="51" spans="1:7" s="13" customFormat="1" ht="17" x14ac:dyDescent="0.2">
      <c r="A51" s="475" t="s">
        <v>1265</v>
      </c>
      <c r="B51" s="476">
        <v>600</v>
      </c>
      <c r="C51" s="13">
        <f>B51</f>
        <v>600</v>
      </c>
    </row>
    <row r="52" spans="1:7" s="13" customFormat="1" ht="17" x14ac:dyDescent="0.2">
      <c r="A52" s="475" t="s">
        <v>1266</v>
      </c>
      <c r="B52" s="476" t="s">
        <v>31</v>
      </c>
      <c r="C52" s="477">
        <f>-(600-0)/8*(3+6/12)</f>
        <v>-262.5</v>
      </c>
      <c r="D52" s="12"/>
      <c r="E52" s="12"/>
      <c r="F52" s="12"/>
      <c r="G52" s="12"/>
    </row>
    <row r="53" spans="1:7" s="13" customFormat="1" ht="17" x14ac:dyDescent="0.2">
      <c r="A53" s="475" t="s">
        <v>116</v>
      </c>
      <c r="B53" s="476">
        <v>20</v>
      </c>
      <c r="F53" s="13">
        <f>B53</f>
        <v>20</v>
      </c>
    </row>
    <row r="54" spans="1:7" s="13" customFormat="1" ht="17" x14ac:dyDescent="0.2">
      <c r="A54" s="475" t="s">
        <v>1270</v>
      </c>
      <c r="B54" s="476">
        <v>100</v>
      </c>
      <c r="C54" s="13">
        <f>B54</f>
        <v>100</v>
      </c>
    </row>
    <row r="55" spans="1:7" s="13" customFormat="1" ht="17" x14ac:dyDescent="0.2">
      <c r="A55" s="475" t="s">
        <v>1949</v>
      </c>
      <c r="B55" s="476">
        <v>50</v>
      </c>
      <c r="C55" s="13">
        <f>B55</f>
        <v>50</v>
      </c>
    </row>
    <row r="56" spans="1:7" s="13" customFormat="1" x14ac:dyDescent="0.2">
      <c r="A56" s="550" t="s">
        <v>28</v>
      </c>
      <c r="B56" s="476">
        <v>100</v>
      </c>
      <c r="D56" s="13">
        <f>B56</f>
        <v>100</v>
      </c>
    </row>
    <row r="57" spans="1:7" s="13" customFormat="1" ht="17" x14ac:dyDescent="0.2">
      <c r="A57" s="475" t="s">
        <v>267</v>
      </c>
      <c r="B57" s="476">
        <v>20</v>
      </c>
      <c r="G57" s="13">
        <f>B57</f>
        <v>20</v>
      </c>
    </row>
    <row r="58" spans="1:7" s="13" customFormat="1" ht="17" x14ac:dyDescent="0.2">
      <c r="A58" s="475" t="s">
        <v>1274</v>
      </c>
      <c r="B58" s="476">
        <v>80</v>
      </c>
      <c r="F58" s="13">
        <f>B58</f>
        <v>80</v>
      </c>
    </row>
    <row r="59" spans="1:7" s="13" customFormat="1" ht="17" x14ac:dyDescent="0.2">
      <c r="A59" s="475" t="s">
        <v>1950</v>
      </c>
      <c r="B59" s="476">
        <v>20</v>
      </c>
      <c r="G59" s="13">
        <f>B59</f>
        <v>20</v>
      </c>
    </row>
    <row r="60" spans="1:7" s="13" customFormat="1" ht="17" x14ac:dyDescent="0.2">
      <c r="A60" s="475" t="s">
        <v>1276</v>
      </c>
      <c r="B60" s="476">
        <v>10</v>
      </c>
      <c r="G60" s="13">
        <f>B60</f>
        <v>10</v>
      </c>
    </row>
    <row r="61" spans="1:7" s="13" customFormat="1" ht="17" x14ac:dyDescent="0.2">
      <c r="A61" s="475" t="s">
        <v>1277</v>
      </c>
      <c r="B61" s="476">
        <v>30</v>
      </c>
      <c r="G61" s="13">
        <f>B61</f>
        <v>30</v>
      </c>
    </row>
    <row r="62" spans="1:7" s="13" customFormat="1" ht="17" x14ac:dyDescent="0.2">
      <c r="A62" s="475" t="s">
        <v>269</v>
      </c>
      <c r="B62" s="476">
        <v>15</v>
      </c>
      <c r="G62" s="13">
        <f>B62</f>
        <v>15</v>
      </c>
    </row>
    <row r="63" spans="1:7" s="13" customFormat="1" ht="17" x14ac:dyDescent="0.2">
      <c r="A63" s="475" t="s">
        <v>1951</v>
      </c>
      <c r="B63" s="476">
        <v>22</v>
      </c>
      <c r="G63" s="13">
        <f>B63</f>
        <v>22</v>
      </c>
    </row>
    <row r="64" spans="1:7" s="13" customFormat="1" ht="17" x14ac:dyDescent="0.2">
      <c r="A64" s="475" t="s">
        <v>1279</v>
      </c>
      <c r="B64" s="476" t="s">
        <v>31</v>
      </c>
      <c r="C64" s="478">
        <v>50</v>
      </c>
    </row>
    <row r="65" spans="1:7" s="13" customFormat="1" ht="17" x14ac:dyDescent="0.2">
      <c r="A65" s="475" t="s">
        <v>1280</v>
      </c>
      <c r="B65" s="476" t="s">
        <v>31</v>
      </c>
      <c r="G65" s="479">
        <v>-50</v>
      </c>
    </row>
    <row r="66" spans="1:7" x14ac:dyDescent="0.2">
      <c r="A66" s="1" t="s">
        <v>281</v>
      </c>
      <c r="C66" s="558">
        <f>SUM(C39:C65)</f>
        <v>1687.5</v>
      </c>
      <c r="D66" s="558">
        <f>SUM(D39:D65)</f>
        <v>170</v>
      </c>
      <c r="E66" s="559" t="s">
        <v>1977</v>
      </c>
      <c r="F66" s="558">
        <f>SUM(F39:F65)</f>
        <v>800</v>
      </c>
      <c r="G66" s="558">
        <f>SUM(G39:G65)</f>
        <v>497</v>
      </c>
    </row>
    <row r="67" spans="1:7" ht="17" thickBot="1" x14ac:dyDescent="0.25">
      <c r="C67" s="330" t="s">
        <v>11</v>
      </c>
      <c r="D67" s="331" t="s">
        <v>12</v>
      </c>
      <c r="E67" s="331" t="s">
        <v>1640</v>
      </c>
      <c r="F67" s="331" t="s">
        <v>9</v>
      </c>
      <c r="G67" s="331" t="s">
        <v>10</v>
      </c>
    </row>
    <row r="68" spans="1:7" x14ac:dyDescent="0.2">
      <c r="E68" s="6"/>
    </row>
    <row r="70" spans="1:7" x14ac:dyDescent="0.2">
      <c r="A70" s="2" t="s">
        <v>1954</v>
      </c>
    </row>
    <row r="72" spans="1:7" x14ac:dyDescent="0.2">
      <c r="A72" s="1" t="s">
        <v>1959</v>
      </c>
      <c r="B72" s="6" t="s">
        <v>31</v>
      </c>
      <c r="C72" s="1" t="s">
        <v>1958</v>
      </c>
    </row>
    <row r="73" spans="1:7" x14ac:dyDescent="0.2">
      <c r="A73" s="1" t="s">
        <v>1279</v>
      </c>
      <c r="B73" s="6" t="s">
        <v>31</v>
      </c>
      <c r="C73" s="1" t="s">
        <v>1958</v>
      </c>
    </row>
    <row r="74" spans="1:7" x14ac:dyDescent="0.2">
      <c r="A74" s="1" t="s">
        <v>1280</v>
      </c>
      <c r="B74" s="6" t="s">
        <v>31</v>
      </c>
      <c r="C74" s="1" t="s">
        <v>1958</v>
      </c>
    </row>
    <row r="75" spans="1:7" x14ac:dyDescent="0.2">
      <c r="A75" s="1" t="s">
        <v>1956</v>
      </c>
      <c r="B75" s="6" t="s">
        <v>31</v>
      </c>
      <c r="C75" s="1" t="s">
        <v>1957</v>
      </c>
    </row>
    <row r="77" spans="1:7" x14ac:dyDescent="0.2">
      <c r="A77" s="110" t="s">
        <v>1970</v>
      </c>
    </row>
    <row r="84" spans="1:6" x14ac:dyDescent="0.2">
      <c r="A84" s="1" t="s">
        <v>1960</v>
      </c>
      <c r="B84" s="120">
        <v>42917</v>
      </c>
      <c r="C84" s="6" t="s">
        <v>1368</v>
      </c>
      <c r="D84" s="1" t="s">
        <v>2806</v>
      </c>
      <c r="F84" s="120">
        <v>44197</v>
      </c>
    </row>
    <row r="85" spans="1:6" x14ac:dyDescent="0.2">
      <c r="A85" s="1" t="s">
        <v>1961</v>
      </c>
      <c r="B85" s="1">
        <v>8</v>
      </c>
      <c r="D85" s="1" t="s">
        <v>2807</v>
      </c>
    </row>
    <row r="86" spans="1:6" x14ac:dyDescent="0.2">
      <c r="A86" s="1" t="s">
        <v>1962</v>
      </c>
      <c r="B86" s="1">
        <v>0</v>
      </c>
    </row>
    <row r="87" spans="1:6" x14ac:dyDescent="0.2">
      <c r="B87" s="120"/>
    </row>
    <row r="88" spans="1:6" x14ac:dyDescent="0.2">
      <c r="A88" s="1" t="s">
        <v>1963</v>
      </c>
      <c r="B88" s="120"/>
    </row>
    <row r="89" spans="1:6" x14ac:dyDescent="0.2">
      <c r="A89" s="1" t="s">
        <v>1964</v>
      </c>
      <c r="B89" s="120"/>
    </row>
    <row r="90" spans="1:6" x14ac:dyDescent="0.2">
      <c r="B90" s="120"/>
    </row>
    <row r="91" spans="1:6" x14ac:dyDescent="0.2">
      <c r="A91" s="1" t="s">
        <v>1965</v>
      </c>
      <c r="B91" s="1">
        <v>600</v>
      </c>
    </row>
    <row r="92" spans="1:6" x14ac:dyDescent="0.2">
      <c r="B92" s="120"/>
    </row>
    <row r="93" spans="1:6" x14ac:dyDescent="0.2">
      <c r="A93" s="1" t="s">
        <v>1969</v>
      </c>
      <c r="B93" s="3">
        <f>600/8*3.5</f>
        <v>262.5</v>
      </c>
      <c r="E93" s="1" t="s">
        <v>1966</v>
      </c>
    </row>
    <row r="94" spans="1:6" x14ac:dyDescent="0.2">
      <c r="B94" s="120"/>
    </row>
    <row r="95" spans="1:6" x14ac:dyDescent="0.2">
      <c r="B95" s="120"/>
    </row>
    <row r="96" spans="1:6" x14ac:dyDescent="0.2">
      <c r="B96" s="120" t="s">
        <v>2812</v>
      </c>
      <c r="D96" s="1" t="s">
        <v>2809</v>
      </c>
      <c r="E96" s="1" t="s">
        <v>2808</v>
      </c>
      <c r="F96" s="1" t="s">
        <v>695</v>
      </c>
    </row>
    <row r="97" spans="1:8" x14ac:dyDescent="0.2">
      <c r="B97" s="120" t="s">
        <v>2813</v>
      </c>
      <c r="D97" s="1" t="s">
        <v>2810</v>
      </c>
    </row>
    <row r="98" spans="1:8" x14ac:dyDescent="0.2">
      <c r="B98" s="120"/>
      <c r="D98" s="1" t="s">
        <v>2811</v>
      </c>
    </row>
    <row r="99" spans="1:8" x14ac:dyDescent="0.2">
      <c r="B99" s="120"/>
    </row>
    <row r="100" spans="1:8" x14ac:dyDescent="0.2">
      <c r="A100" s="1" t="s">
        <v>1967</v>
      </c>
      <c r="B100" s="120"/>
    </row>
    <row r="101" spans="1:8" x14ac:dyDescent="0.2">
      <c r="A101" s="1" t="s">
        <v>1968</v>
      </c>
    </row>
    <row r="103" spans="1:8" x14ac:dyDescent="0.2">
      <c r="A103" s="110" t="s">
        <v>1971</v>
      </c>
    </row>
    <row r="109" spans="1:8" x14ac:dyDescent="0.2">
      <c r="A109" s="1" t="s">
        <v>1972</v>
      </c>
      <c r="F109" s="1" t="s">
        <v>1975</v>
      </c>
    </row>
    <row r="110" spans="1:8" x14ac:dyDescent="0.2">
      <c r="A110" s="1" t="s">
        <v>1973</v>
      </c>
      <c r="F110" s="1">
        <v>70</v>
      </c>
      <c r="H110" s="1" t="s">
        <v>1974</v>
      </c>
    </row>
    <row r="111" spans="1:8" x14ac:dyDescent="0.2">
      <c r="A111" s="1" t="s">
        <v>2814</v>
      </c>
      <c r="F111" s="1">
        <v>50</v>
      </c>
      <c r="H111" s="1" t="s">
        <v>2815</v>
      </c>
    </row>
    <row r="112" spans="1:8" x14ac:dyDescent="0.2">
      <c r="A112" s="1" t="s">
        <v>1976</v>
      </c>
      <c r="F112" s="3">
        <v>50</v>
      </c>
    </row>
    <row r="114" spans="1:6" x14ac:dyDescent="0.2">
      <c r="A114" s="1" t="s">
        <v>2816</v>
      </c>
    </row>
    <row r="115" spans="1:6" x14ac:dyDescent="0.2">
      <c r="A115" s="1" t="s">
        <v>2817</v>
      </c>
    </row>
    <row r="117" spans="1:6" x14ac:dyDescent="0.2">
      <c r="A117" s="110" t="s">
        <v>1978</v>
      </c>
    </row>
    <row r="118" spans="1:6" x14ac:dyDescent="0.2">
      <c r="A118" s="1" t="s">
        <v>1984</v>
      </c>
    </row>
    <row r="119" spans="1:6" x14ac:dyDescent="0.2">
      <c r="A119" s="1" t="s">
        <v>1979</v>
      </c>
    </row>
    <row r="120" spans="1:6" x14ac:dyDescent="0.2">
      <c r="A120" s="1" t="s">
        <v>1980</v>
      </c>
    </row>
    <row r="122" spans="1:6" x14ac:dyDescent="0.2">
      <c r="B122" s="329">
        <v>1687.5</v>
      </c>
      <c r="C122" s="329">
        <v>170</v>
      </c>
      <c r="D122" s="329" t="s">
        <v>1977</v>
      </c>
      <c r="E122" s="329">
        <v>800</v>
      </c>
      <c r="F122" s="329">
        <v>497</v>
      </c>
    </row>
    <row r="123" spans="1:6" ht="17" thickBot="1" x14ac:dyDescent="0.25">
      <c r="B123" s="332" t="s">
        <v>11</v>
      </c>
      <c r="C123" s="333" t="s">
        <v>12</v>
      </c>
      <c r="D123" s="333" t="s">
        <v>1640</v>
      </c>
      <c r="E123" s="333" t="s">
        <v>9</v>
      </c>
      <c r="F123" s="333" t="s">
        <v>10</v>
      </c>
    </row>
    <row r="125" spans="1:6" x14ac:dyDescent="0.2">
      <c r="A125" s="1" t="s">
        <v>1981</v>
      </c>
      <c r="D125" s="1" t="s">
        <v>2818</v>
      </c>
    </row>
    <row r="127" spans="1:6" x14ac:dyDescent="0.2">
      <c r="B127" s="1" t="s">
        <v>1982</v>
      </c>
    </row>
    <row r="129" spans="1:5" x14ac:dyDescent="0.2">
      <c r="E129" s="1" t="s">
        <v>2819</v>
      </c>
    </row>
    <row r="131" spans="1:5" x14ac:dyDescent="0.2">
      <c r="B131" s="1" t="s">
        <v>9</v>
      </c>
      <c r="C131" s="1" t="s">
        <v>2820</v>
      </c>
      <c r="D131" s="1" t="s">
        <v>12</v>
      </c>
      <c r="E131" s="54" t="s">
        <v>11</v>
      </c>
    </row>
    <row r="132" spans="1:5" x14ac:dyDescent="0.2">
      <c r="B132" s="1" t="s">
        <v>2803</v>
      </c>
      <c r="C132" s="1" t="s">
        <v>2821</v>
      </c>
    </row>
    <row r="133" spans="1:5" x14ac:dyDescent="0.2">
      <c r="B133" s="1" t="s">
        <v>10</v>
      </c>
      <c r="C133" s="1" t="s">
        <v>2822</v>
      </c>
    </row>
    <row r="134" spans="1:5" ht="17" thickBot="1" x14ac:dyDescent="0.25">
      <c r="B134" s="13"/>
    </row>
    <row r="135" spans="1:5" ht="17" thickBot="1" x14ac:dyDescent="0.25">
      <c r="D135" s="334">
        <f>B122-C122-E122+F122-90</f>
        <v>1124.5</v>
      </c>
      <c r="E135" s="335" t="s">
        <v>1983</v>
      </c>
    </row>
    <row r="138" spans="1:5" x14ac:dyDescent="0.2">
      <c r="A138" s="2" t="s">
        <v>1985</v>
      </c>
    </row>
    <row r="139" spans="1:5" x14ac:dyDescent="0.2">
      <c r="A139" s="1" t="s">
        <v>1986</v>
      </c>
    </row>
    <row r="140" spans="1:5" x14ac:dyDescent="0.2">
      <c r="A140" s="1" t="s">
        <v>1987</v>
      </c>
    </row>
    <row r="141" spans="1:5" x14ac:dyDescent="0.2">
      <c r="A141" s="1" t="s">
        <v>1988</v>
      </c>
    </row>
    <row r="144" spans="1:5" x14ac:dyDescent="0.2">
      <c r="A144" s="110" t="s">
        <v>1989</v>
      </c>
    </row>
    <row r="151" spans="1:2" x14ac:dyDescent="0.2">
      <c r="A151" s="1" t="s">
        <v>1990</v>
      </c>
    </row>
    <row r="152" spans="1:2" x14ac:dyDescent="0.2">
      <c r="A152" s="1" t="s">
        <v>1947</v>
      </c>
      <c r="B152" s="1">
        <v>80</v>
      </c>
    </row>
    <row r="153" spans="1:2" x14ac:dyDescent="0.2">
      <c r="A153" s="1" t="s">
        <v>1991</v>
      </c>
      <c r="B153" s="1">
        <v>30</v>
      </c>
    </row>
    <row r="155" spans="1:2" x14ac:dyDescent="0.2">
      <c r="A155" s="1" t="s">
        <v>1992</v>
      </c>
    </row>
    <row r="156" spans="1:2" x14ac:dyDescent="0.2">
      <c r="A156" s="1" t="s">
        <v>1993</v>
      </c>
    </row>
    <row r="158" spans="1:2" x14ac:dyDescent="0.2">
      <c r="A158" s="1" t="s">
        <v>1994</v>
      </c>
    </row>
    <row r="159" spans="1:2" x14ac:dyDescent="0.2">
      <c r="B159" s="1" t="s">
        <v>1995</v>
      </c>
    </row>
    <row r="160" spans="1:2" x14ac:dyDescent="0.2">
      <c r="B160" s="1" t="s">
        <v>1996</v>
      </c>
    </row>
    <row r="162" spans="1:7" x14ac:dyDescent="0.2">
      <c r="A162" s="1" t="s">
        <v>1997</v>
      </c>
    </row>
    <row r="163" spans="1:7" ht="17" thickBot="1" x14ac:dyDescent="0.25">
      <c r="A163" s="103"/>
      <c r="B163" s="103" t="s">
        <v>1998</v>
      </c>
      <c r="C163" s="103"/>
      <c r="D163" s="103" t="s">
        <v>1999</v>
      </c>
      <c r="E163" s="336" t="s">
        <v>2004</v>
      </c>
      <c r="F163" s="336"/>
      <c r="G163" s="103" t="s">
        <v>463</v>
      </c>
    </row>
    <row r="164" spans="1:7" x14ac:dyDescent="0.2">
      <c r="A164" s="120">
        <v>44196</v>
      </c>
      <c r="E164" s="3"/>
      <c r="F164" s="3"/>
      <c r="G164" s="1" t="s">
        <v>1798</v>
      </c>
    </row>
    <row r="165" spans="1:7" x14ac:dyDescent="0.2">
      <c r="A165" s="1">
        <v>2021</v>
      </c>
      <c r="B165" s="1" t="s">
        <v>2000</v>
      </c>
      <c r="D165" s="1">
        <v>110</v>
      </c>
      <c r="E165" s="7" t="s">
        <v>2002</v>
      </c>
      <c r="F165" s="7"/>
    </row>
    <row r="166" spans="1:7" x14ac:dyDescent="0.2">
      <c r="B166" s="1" t="s">
        <v>2001</v>
      </c>
      <c r="E166" s="7" t="s">
        <v>2003</v>
      </c>
      <c r="F166" s="7"/>
      <c r="G166" s="1">
        <v>0</v>
      </c>
    </row>
    <row r="168" spans="1:7" x14ac:dyDescent="0.2">
      <c r="A168" s="1" t="s">
        <v>2005</v>
      </c>
    </row>
    <row r="169" spans="1:7" x14ac:dyDescent="0.2">
      <c r="A169" s="1" t="s">
        <v>2006</v>
      </c>
    </row>
    <row r="170" spans="1:7" x14ac:dyDescent="0.2">
      <c r="A170" s="1" t="s">
        <v>2007</v>
      </c>
    </row>
    <row r="173" spans="1:7" x14ac:dyDescent="0.2">
      <c r="A173" s="110" t="s">
        <v>2009</v>
      </c>
    </row>
    <row r="181" spans="1:5" x14ac:dyDescent="0.2">
      <c r="A181" s="1" t="s">
        <v>2010</v>
      </c>
    </row>
    <row r="182" spans="1:5" x14ac:dyDescent="0.2">
      <c r="A182" s="1" t="s">
        <v>2011</v>
      </c>
      <c r="B182" s="1">
        <v>100</v>
      </c>
    </row>
    <row r="183" spans="1:5" x14ac:dyDescent="0.2">
      <c r="A183" s="1" t="s">
        <v>2012</v>
      </c>
      <c r="B183" s="87" t="s">
        <v>2013</v>
      </c>
      <c r="C183" s="1" t="s">
        <v>2823</v>
      </c>
    </row>
    <row r="184" spans="1:5" x14ac:dyDescent="0.2">
      <c r="A184" s="1" t="s">
        <v>2014</v>
      </c>
      <c r="B184" s="87">
        <v>10</v>
      </c>
    </row>
    <row r="185" spans="1:5" x14ac:dyDescent="0.2">
      <c r="A185" s="1" t="s">
        <v>2824</v>
      </c>
      <c r="B185" s="87"/>
    </row>
    <row r="187" spans="1:5" x14ac:dyDescent="0.2">
      <c r="A187" s="1" t="s">
        <v>2016</v>
      </c>
      <c r="B187" s="1">
        <f>90/10*2/12</f>
        <v>1.5</v>
      </c>
      <c r="E187" s="1" t="s">
        <v>2015</v>
      </c>
    </row>
    <row r="189" spans="1:5" x14ac:dyDescent="0.2">
      <c r="C189" s="1" t="s">
        <v>2827</v>
      </c>
    </row>
    <row r="190" spans="1:5" x14ac:dyDescent="0.2">
      <c r="C190" s="1" t="s">
        <v>2828</v>
      </c>
      <c r="D190" s="1" t="s">
        <v>2825</v>
      </c>
      <c r="E190" s="54" t="s">
        <v>695</v>
      </c>
    </row>
    <row r="191" spans="1:5" x14ac:dyDescent="0.2">
      <c r="C191" s="1" t="s">
        <v>2829</v>
      </c>
      <c r="D191" s="1" t="s">
        <v>2826</v>
      </c>
      <c r="E191" s="1" t="s">
        <v>855</v>
      </c>
    </row>
    <row r="193" spans="1:3" x14ac:dyDescent="0.2">
      <c r="A193" s="3" t="s">
        <v>2017</v>
      </c>
      <c r="B193" s="3"/>
    </row>
    <row r="194" spans="1:3" x14ac:dyDescent="0.2">
      <c r="A194" s="3" t="s">
        <v>2018</v>
      </c>
      <c r="B194" s="3">
        <f>B187</f>
        <v>1.5</v>
      </c>
      <c r="C194" s="8" t="s">
        <v>2020</v>
      </c>
    </row>
    <row r="195" spans="1:3" x14ac:dyDescent="0.2">
      <c r="A195" s="3" t="s">
        <v>2019</v>
      </c>
      <c r="B195" s="3">
        <f>B194</f>
        <v>1.5</v>
      </c>
      <c r="C195" s="8" t="s">
        <v>2020</v>
      </c>
    </row>
    <row r="198" spans="1:3" x14ac:dyDescent="0.2">
      <c r="A198" s="110" t="s">
        <v>2022</v>
      </c>
    </row>
    <row r="206" spans="1:3" x14ac:dyDescent="0.2">
      <c r="A206" s="1" t="s">
        <v>2023</v>
      </c>
    </row>
    <row r="207" spans="1:3" x14ac:dyDescent="0.2">
      <c r="A207" s="1" t="s">
        <v>1265</v>
      </c>
      <c r="B207" s="1">
        <f>B91</f>
        <v>600</v>
      </c>
      <c r="C207" s="1" t="s">
        <v>2024</v>
      </c>
    </row>
    <row r="208" spans="1:3" x14ac:dyDescent="0.2">
      <c r="A208" s="1" t="s">
        <v>1266</v>
      </c>
      <c r="B208" s="1">
        <f>B93</f>
        <v>262.5</v>
      </c>
      <c r="C208" s="1" t="s">
        <v>2025</v>
      </c>
    </row>
    <row r="209" spans="1:4" x14ac:dyDescent="0.2">
      <c r="A209" s="1" t="s">
        <v>2026</v>
      </c>
      <c r="B209" s="1">
        <v>0</v>
      </c>
    </row>
    <row r="210" spans="1:4" x14ac:dyDescent="0.2">
      <c r="A210" s="1" t="s">
        <v>2027</v>
      </c>
      <c r="B210" s="1">
        <v>8</v>
      </c>
    </row>
    <row r="212" spans="1:4" x14ac:dyDescent="0.2">
      <c r="A212" s="1" t="s">
        <v>2028</v>
      </c>
    </row>
    <row r="213" spans="1:4" x14ac:dyDescent="0.2">
      <c r="A213" s="1" t="s">
        <v>2029</v>
      </c>
    </row>
    <row r="215" spans="1:4" x14ac:dyDescent="0.2">
      <c r="A215" s="2" t="s">
        <v>2832</v>
      </c>
    </row>
    <row r="217" spans="1:4" x14ac:dyDescent="0.2">
      <c r="A217" s="7" t="s">
        <v>2030</v>
      </c>
      <c r="B217" s="3"/>
      <c r="C217" s="3"/>
      <c r="D217" s="3"/>
    </row>
    <row r="218" spans="1:4" x14ac:dyDescent="0.2">
      <c r="A218" s="3" t="s">
        <v>2031</v>
      </c>
      <c r="B218" s="3">
        <f>B207/B210</f>
        <v>75</v>
      </c>
      <c r="C218" s="3"/>
      <c r="D218" s="3" t="s">
        <v>2831</v>
      </c>
    </row>
    <row r="219" spans="1:4" x14ac:dyDescent="0.2">
      <c r="A219" s="3" t="s">
        <v>2032</v>
      </c>
      <c r="B219" s="3">
        <f>B218</f>
        <v>75</v>
      </c>
      <c r="C219" s="3"/>
      <c r="D219" s="3"/>
    </row>
    <row r="220" spans="1:4" x14ac:dyDescent="0.2">
      <c r="B220" s="1" t="s">
        <v>2809</v>
      </c>
      <c r="C220" s="1" t="s">
        <v>855</v>
      </c>
      <c r="D220" s="1" t="s">
        <v>2830</v>
      </c>
    </row>
    <row r="221" spans="1:4" x14ac:dyDescent="0.2">
      <c r="B221" s="1" t="s">
        <v>2828</v>
      </c>
    </row>
    <row r="223" spans="1:4" x14ac:dyDescent="0.2">
      <c r="A223" s="1" t="s">
        <v>2033</v>
      </c>
    </row>
    <row r="224" spans="1:4" x14ac:dyDescent="0.2">
      <c r="A224" s="1" t="s">
        <v>2034</v>
      </c>
    </row>
    <row r="226" spans="1:7" x14ac:dyDescent="0.2">
      <c r="A226" s="1" t="s">
        <v>2035</v>
      </c>
    </row>
    <row r="227" spans="1:7" ht="17" thickBot="1" x14ac:dyDescent="0.25">
      <c r="B227" s="158" t="s">
        <v>432</v>
      </c>
    </row>
    <row r="228" spans="1:7" x14ac:dyDescent="0.2">
      <c r="A228" s="1" t="s">
        <v>695</v>
      </c>
      <c r="B228" s="6">
        <f>B207</f>
        <v>600</v>
      </c>
    </row>
    <row r="229" spans="1:7" x14ac:dyDescent="0.2">
      <c r="A229" s="1" t="s">
        <v>667</v>
      </c>
      <c r="B229" s="46">
        <f>-75*4.5</f>
        <v>-337.5</v>
      </c>
      <c r="F229" s="1" t="s">
        <v>2039</v>
      </c>
    </row>
    <row r="230" spans="1:7" x14ac:dyDescent="0.2">
      <c r="A230" s="1" t="s">
        <v>2040</v>
      </c>
      <c r="B230" s="329">
        <f>B228+B229</f>
        <v>262.5</v>
      </c>
    </row>
    <row r="231" spans="1:7" x14ac:dyDescent="0.2">
      <c r="C231" s="1" t="s">
        <v>2037</v>
      </c>
      <c r="E231" s="1" t="s">
        <v>856</v>
      </c>
      <c r="G231" s="1" t="s">
        <v>1955</v>
      </c>
    </row>
    <row r="232" spans="1:7" x14ac:dyDescent="0.2">
      <c r="C232" s="1" t="s">
        <v>2038</v>
      </c>
      <c r="F232" s="1" t="s">
        <v>2036</v>
      </c>
    </row>
    <row r="234" spans="1:7" x14ac:dyDescent="0.2">
      <c r="A234" s="1" t="s">
        <v>2041</v>
      </c>
    </row>
    <row r="236" spans="1:7" x14ac:dyDescent="0.2">
      <c r="A236" s="1" t="s">
        <v>1423</v>
      </c>
      <c r="B236" s="480">
        <f>B238-B237</f>
        <v>272.5</v>
      </c>
      <c r="C236" s="1" t="s">
        <v>2043</v>
      </c>
    </row>
    <row r="237" spans="1:7" x14ac:dyDescent="0.2">
      <c r="A237" s="1" t="s">
        <v>2040</v>
      </c>
      <c r="B237" s="6">
        <f>-B230</f>
        <v>-262.5</v>
      </c>
    </row>
    <row r="238" spans="1:7" x14ac:dyDescent="0.2">
      <c r="A238" s="1" t="s">
        <v>2042</v>
      </c>
      <c r="B238" s="559">
        <v>10</v>
      </c>
    </row>
    <row r="240" spans="1:7" x14ac:dyDescent="0.2">
      <c r="A240" s="1" t="s">
        <v>2048</v>
      </c>
    </row>
    <row r="241" spans="1:6" x14ac:dyDescent="0.2">
      <c r="A241" s="1" t="s">
        <v>2044</v>
      </c>
      <c r="D241" s="1" t="s">
        <v>163</v>
      </c>
      <c r="E241" s="1" t="s">
        <v>254</v>
      </c>
      <c r="F241" s="1">
        <v>600</v>
      </c>
    </row>
    <row r="242" spans="1:6" x14ac:dyDescent="0.2">
      <c r="A242" s="1" t="s">
        <v>2045</v>
      </c>
      <c r="D242" s="1" t="s">
        <v>162</v>
      </c>
      <c r="E242" s="1" t="s">
        <v>667</v>
      </c>
      <c r="F242" s="8">
        <f>-B229</f>
        <v>337.5</v>
      </c>
    </row>
    <row r="243" spans="1:6" x14ac:dyDescent="0.2">
      <c r="A243" s="1" t="s">
        <v>2046</v>
      </c>
      <c r="D243" s="1" t="s">
        <v>162</v>
      </c>
      <c r="E243" s="1" t="s">
        <v>140</v>
      </c>
      <c r="F243" s="1">
        <f>B236</f>
        <v>272.5</v>
      </c>
    </row>
    <row r="244" spans="1:6" x14ac:dyDescent="0.2">
      <c r="A244" s="1" t="s">
        <v>2047</v>
      </c>
      <c r="D244" s="1" t="s">
        <v>163</v>
      </c>
      <c r="E244" s="1" t="s">
        <v>760</v>
      </c>
      <c r="F244" s="122">
        <f>B238</f>
        <v>10</v>
      </c>
    </row>
    <row r="246" spans="1:6" x14ac:dyDescent="0.2">
      <c r="A246" s="2" t="s">
        <v>2049</v>
      </c>
    </row>
    <row r="247" spans="1:6" x14ac:dyDescent="0.2">
      <c r="A247" s="1" t="s">
        <v>2050</v>
      </c>
      <c r="B247" s="1">
        <v>75</v>
      </c>
    </row>
    <row r="248" spans="1:6" x14ac:dyDescent="0.2">
      <c r="A248" s="1" t="s">
        <v>2051</v>
      </c>
      <c r="B248" s="1">
        <v>0</v>
      </c>
    </row>
    <row r="249" spans="1:6" x14ac:dyDescent="0.2">
      <c r="A249" s="1" t="s">
        <v>2052</v>
      </c>
      <c r="B249" s="1">
        <v>0</v>
      </c>
    </row>
    <row r="250" spans="1:6" x14ac:dyDescent="0.2">
      <c r="A250" s="1" t="s">
        <v>2053</v>
      </c>
      <c r="B250" s="1">
        <f>F243</f>
        <v>272.5</v>
      </c>
    </row>
    <row r="251" spans="1:6" x14ac:dyDescent="0.2">
      <c r="A251" s="1" t="s">
        <v>2054</v>
      </c>
      <c r="B251" s="1">
        <f>F244</f>
        <v>10</v>
      </c>
    </row>
    <row r="254" spans="1:6" x14ac:dyDescent="0.2">
      <c r="A254" s="110" t="s">
        <v>2058</v>
      </c>
    </row>
    <row r="259" spans="1:12" x14ac:dyDescent="0.2">
      <c r="A259" s="1" t="s">
        <v>2059</v>
      </c>
    </row>
    <row r="260" spans="1:12" x14ac:dyDescent="0.2">
      <c r="A260" s="1" t="s">
        <v>2060</v>
      </c>
    </row>
    <row r="262" spans="1:12" x14ac:dyDescent="0.2">
      <c r="A262" s="3" t="s">
        <v>2061</v>
      </c>
      <c r="B262" s="3">
        <v>7</v>
      </c>
      <c r="D262" s="1" t="s">
        <v>2063</v>
      </c>
    </row>
    <row r="263" spans="1:12" x14ac:dyDescent="0.2">
      <c r="A263" s="3" t="s">
        <v>2062</v>
      </c>
      <c r="B263" s="3">
        <f>B262</f>
        <v>7</v>
      </c>
      <c r="D263" s="1" t="s">
        <v>2064</v>
      </c>
    </row>
    <row r="267" spans="1:12" x14ac:dyDescent="0.2">
      <c r="A267" s="2" t="s">
        <v>1953</v>
      </c>
    </row>
    <row r="270" spans="1:12" ht="19" customHeight="1" x14ac:dyDescent="0.2">
      <c r="A270" s="327" t="s">
        <v>14</v>
      </c>
      <c r="B270" s="327" t="s">
        <v>114</v>
      </c>
      <c r="C270" s="328" t="s">
        <v>11</v>
      </c>
      <c r="D270" s="328" t="s">
        <v>12</v>
      </c>
      <c r="E270" s="328" t="s">
        <v>1640</v>
      </c>
      <c r="F270" s="328" t="s">
        <v>9</v>
      </c>
      <c r="G270" s="328" t="s">
        <v>10</v>
      </c>
    </row>
    <row r="271" spans="1:12" ht="19" customHeight="1" x14ac:dyDescent="0.2">
      <c r="A271" s="323" t="s">
        <v>1262</v>
      </c>
      <c r="B271" s="325">
        <v>320</v>
      </c>
      <c r="C271" s="337">
        <f>320+272.5</f>
        <v>592.5</v>
      </c>
      <c r="D271" s="324"/>
      <c r="E271" s="324"/>
      <c r="F271" s="324"/>
      <c r="G271" s="324"/>
      <c r="I271" s="1" t="s">
        <v>11</v>
      </c>
      <c r="L271" s="1" t="s">
        <v>1066</v>
      </c>
    </row>
    <row r="272" spans="1:12" ht="19" customHeight="1" x14ac:dyDescent="0.2">
      <c r="A272" s="323" t="s">
        <v>1947</v>
      </c>
      <c r="B272" s="325">
        <v>80</v>
      </c>
      <c r="C272" s="324"/>
      <c r="D272" s="324"/>
      <c r="E272" s="324"/>
      <c r="F272" s="324"/>
      <c r="G272" s="337">
        <v>110</v>
      </c>
    </row>
    <row r="273" spans="1:12" ht="19" customHeight="1" x14ac:dyDescent="0.2">
      <c r="A273" s="323" t="s">
        <v>19</v>
      </c>
      <c r="B273" s="325">
        <v>500</v>
      </c>
      <c r="C273" s="324">
        <v>500</v>
      </c>
      <c r="D273" s="324"/>
      <c r="E273" s="324"/>
      <c r="F273" s="324"/>
      <c r="G273" s="324"/>
    </row>
    <row r="274" spans="1:12" ht="19" customHeight="1" x14ac:dyDescent="0.2">
      <c r="A274" s="323" t="s">
        <v>17</v>
      </c>
      <c r="B274" s="325">
        <v>300</v>
      </c>
      <c r="C274" s="324">
        <v>300</v>
      </c>
      <c r="D274" s="324"/>
      <c r="E274" s="324"/>
      <c r="F274" s="324"/>
      <c r="G274" s="324"/>
      <c r="I274" s="1" t="s">
        <v>1455</v>
      </c>
      <c r="L274" s="1" t="s">
        <v>1458</v>
      </c>
    </row>
    <row r="275" spans="1:12" ht="19" customHeight="1" x14ac:dyDescent="0.2">
      <c r="A275" s="323" t="s">
        <v>75</v>
      </c>
      <c r="B275" s="325">
        <v>700</v>
      </c>
      <c r="C275" s="324"/>
      <c r="D275" s="324"/>
      <c r="E275" s="324"/>
      <c r="F275" s="324">
        <v>700</v>
      </c>
      <c r="G275" s="324"/>
    </row>
    <row r="276" spans="1:12" ht="19" customHeight="1" x14ac:dyDescent="0.2">
      <c r="A276" s="323" t="s">
        <v>21</v>
      </c>
      <c r="B276" s="325">
        <v>20</v>
      </c>
      <c r="C276" s="324"/>
      <c r="D276" s="324">
        <v>20</v>
      </c>
      <c r="E276" s="324"/>
      <c r="F276" s="324"/>
      <c r="G276" s="324"/>
    </row>
    <row r="277" spans="1:12" ht="19" customHeight="1" x14ac:dyDescent="0.2">
      <c r="A277" s="326" t="s">
        <v>2008</v>
      </c>
      <c r="B277" s="325">
        <v>30</v>
      </c>
      <c r="C277" s="337">
        <v>0</v>
      </c>
      <c r="D277" s="324"/>
      <c r="E277" s="324"/>
      <c r="F277" s="324"/>
      <c r="G277" s="324"/>
    </row>
    <row r="278" spans="1:12" ht="19" customHeight="1" x14ac:dyDescent="0.2">
      <c r="A278" s="326" t="s">
        <v>27</v>
      </c>
      <c r="B278" s="325">
        <v>50</v>
      </c>
      <c r="C278" s="324"/>
      <c r="D278" s="324">
        <v>50</v>
      </c>
      <c r="E278" s="324"/>
      <c r="F278" s="324"/>
      <c r="G278" s="324"/>
    </row>
    <row r="279" spans="1:12" ht="19" customHeight="1" x14ac:dyDescent="0.2">
      <c r="A279" s="323" t="s">
        <v>29</v>
      </c>
      <c r="B279" s="325">
        <v>90</v>
      </c>
      <c r="C279" s="324"/>
      <c r="D279" s="324"/>
      <c r="E279" s="324">
        <v>90</v>
      </c>
      <c r="F279" s="324"/>
      <c r="G279" s="324"/>
      <c r="I279" s="1" t="s">
        <v>1456</v>
      </c>
      <c r="L279" s="1" t="s">
        <v>1545</v>
      </c>
    </row>
    <row r="280" spans="1:12" ht="19" customHeight="1" x14ac:dyDescent="0.2">
      <c r="A280" s="323" t="s">
        <v>268</v>
      </c>
      <c r="B280" s="325">
        <v>300</v>
      </c>
      <c r="C280" s="324"/>
      <c r="D280" s="324"/>
      <c r="E280" s="324"/>
      <c r="F280" s="324"/>
      <c r="G280" s="324">
        <v>300</v>
      </c>
    </row>
    <row r="281" spans="1:12" ht="19" customHeight="1" x14ac:dyDescent="0.2">
      <c r="A281" s="323" t="s">
        <v>1302</v>
      </c>
      <c r="B281" s="325">
        <v>50</v>
      </c>
      <c r="C281" s="324"/>
      <c r="D281" s="324"/>
      <c r="E281" s="324"/>
      <c r="F281" s="324"/>
      <c r="G281" s="324">
        <v>50</v>
      </c>
    </row>
    <row r="282" spans="1:12" ht="19" customHeight="1" x14ac:dyDescent="0.2">
      <c r="A282" s="323" t="s">
        <v>1321</v>
      </c>
      <c r="B282" s="325" t="s">
        <v>31</v>
      </c>
      <c r="C282" s="324"/>
      <c r="D282" s="324"/>
      <c r="E282" s="324">
        <v>1124.5</v>
      </c>
      <c r="F282" s="324"/>
      <c r="G282" s="324"/>
    </row>
    <row r="283" spans="1:12" ht="19" customHeight="1" x14ac:dyDescent="0.2">
      <c r="A283" s="326" t="s">
        <v>1265</v>
      </c>
      <c r="B283" s="325">
        <v>600</v>
      </c>
      <c r="C283" s="337">
        <v>0</v>
      </c>
      <c r="D283" s="324"/>
      <c r="E283" s="324"/>
      <c r="F283" s="324"/>
      <c r="G283" s="324"/>
    </row>
    <row r="284" spans="1:12" ht="19" customHeight="1" x14ac:dyDescent="0.2">
      <c r="A284" s="326" t="s">
        <v>2056</v>
      </c>
      <c r="B284" s="325" t="s">
        <v>31</v>
      </c>
      <c r="C284" s="337">
        <v>0</v>
      </c>
      <c r="D284" s="324"/>
      <c r="E284" s="324"/>
      <c r="F284" s="324"/>
      <c r="G284" s="324"/>
      <c r="L284" s="1" t="s">
        <v>131</v>
      </c>
    </row>
    <row r="285" spans="1:12" ht="19" customHeight="1" x14ac:dyDescent="0.2">
      <c r="A285" s="326" t="s">
        <v>116</v>
      </c>
      <c r="B285" s="325">
        <v>20</v>
      </c>
      <c r="C285" s="324"/>
      <c r="D285" s="324"/>
      <c r="E285" s="324"/>
      <c r="F285" s="324">
        <v>20</v>
      </c>
      <c r="G285" s="324"/>
    </row>
    <row r="286" spans="1:12" ht="19" customHeight="1" x14ac:dyDescent="0.2">
      <c r="A286" s="326" t="s">
        <v>1270</v>
      </c>
      <c r="B286" s="325">
        <v>100</v>
      </c>
      <c r="C286" s="324">
        <v>100</v>
      </c>
      <c r="D286" s="324"/>
      <c r="E286" s="324"/>
      <c r="F286" s="324"/>
      <c r="G286" s="324"/>
    </row>
    <row r="287" spans="1:12" ht="19" customHeight="1" x14ac:dyDescent="0.2">
      <c r="A287" s="326" t="s">
        <v>1949</v>
      </c>
      <c r="B287" s="325">
        <v>50</v>
      </c>
      <c r="C287" s="324">
        <v>50</v>
      </c>
      <c r="D287" s="324"/>
      <c r="E287" s="324"/>
      <c r="F287" s="324"/>
      <c r="G287" s="324"/>
    </row>
    <row r="288" spans="1:12" ht="19" customHeight="1" x14ac:dyDescent="0.2">
      <c r="A288" s="323" t="s">
        <v>28</v>
      </c>
      <c r="B288" s="325">
        <v>100</v>
      </c>
      <c r="C288" s="324"/>
      <c r="D288" s="324">
        <v>100</v>
      </c>
      <c r="E288" s="324"/>
      <c r="F288" s="324"/>
      <c r="G288" s="324"/>
    </row>
    <row r="289" spans="1:12" ht="19" customHeight="1" x14ac:dyDescent="0.2">
      <c r="A289" s="326" t="s">
        <v>267</v>
      </c>
      <c r="B289" s="325">
        <v>20</v>
      </c>
      <c r="C289" s="324"/>
      <c r="D289" s="324"/>
      <c r="E289" s="324"/>
      <c r="F289" s="324"/>
      <c r="G289" s="324">
        <v>20</v>
      </c>
      <c r="I289" s="1" t="s">
        <v>1457</v>
      </c>
      <c r="L289" s="1" t="s">
        <v>1193</v>
      </c>
    </row>
    <row r="290" spans="1:12" ht="19" customHeight="1" x14ac:dyDescent="0.2">
      <c r="A290" s="326" t="s">
        <v>1274</v>
      </c>
      <c r="B290" s="325">
        <v>80</v>
      </c>
      <c r="C290" s="324"/>
      <c r="D290" s="324"/>
      <c r="E290" s="324"/>
      <c r="F290" s="337">
        <f>80+7</f>
        <v>87</v>
      </c>
      <c r="G290" s="324"/>
    </row>
    <row r="291" spans="1:12" ht="19" customHeight="1" x14ac:dyDescent="0.2">
      <c r="A291" s="326" t="s">
        <v>1950</v>
      </c>
      <c r="B291" s="325">
        <v>20</v>
      </c>
      <c r="C291" s="324"/>
      <c r="D291" s="324"/>
      <c r="E291" s="324"/>
      <c r="F291" s="324"/>
      <c r="G291" s="324">
        <v>20</v>
      </c>
    </row>
    <row r="292" spans="1:12" ht="19" customHeight="1" x14ac:dyDescent="0.2">
      <c r="A292" s="326" t="s">
        <v>1276</v>
      </c>
      <c r="B292" s="325">
        <v>10</v>
      </c>
      <c r="C292" s="324"/>
      <c r="D292" s="324"/>
      <c r="E292" s="324"/>
      <c r="F292" s="324"/>
      <c r="G292" s="324">
        <v>10</v>
      </c>
    </row>
    <row r="293" spans="1:12" ht="19" customHeight="1" x14ac:dyDescent="0.2">
      <c r="A293" s="326" t="s">
        <v>1277</v>
      </c>
      <c r="B293" s="325">
        <v>30</v>
      </c>
      <c r="C293" s="324"/>
      <c r="D293" s="324"/>
      <c r="E293" s="324"/>
      <c r="F293" s="324"/>
      <c r="G293" s="324">
        <v>30</v>
      </c>
    </row>
    <row r="294" spans="1:12" ht="19" customHeight="1" x14ac:dyDescent="0.2">
      <c r="A294" s="326" t="s">
        <v>269</v>
      </c>
      <c r="B294" s="325">
        <v>15</v>
      </c>
      <c r="C294" s="324"/>
      <c r="D294" s="324"/>
      <c r="E294" s="324"/>
      <c r="F294" s="324"/>
      <c r="G294" s="324">
        <v>15</v>
      </c>
    </row>
    <row r="295" spans="1:12" ht="19" customHeight="1" x14ac:dyDescent="0.2">
      <c r="A295" s="326" t="s">
        <v>1951</v>
      </c>
      <c r="B295" s="325">
        <v>22</v>
      </c>
      <c r="C295" s="324"/>
      <c r="D295" s="324"/>
      <c r="E295" s="324"/>
      <c r="F295" s="324"/>
      <c r="G295" s="324">
        <v>22</v>
      </c>
    </row>
    <row r="296" spans="1:12" ht="19" customHeight="1" x14ac:dyDescent="0.2">
      <c r="A296" s="326" t="s">
        <v>1279</v>
      </c>
      <c r="B296" s="325" t="s">
        <v>31</v>
      </c>
      <c r="C296" s="324">
        <v>50</v>
      </c>
      <c r="D296" s="324"/>
      <c r="E296" s="324"/>
      <c r="F296" s="324"/>
      <c r="G296" s="324"/>
    </row>
    <row r="297" spans="1:12" ht="19" customHeight="1" x14ac:dyDescent="0.2">
      <c r="A297" s="326" t="s">
        <v>1280</v>
      </c>
      <c r="B297" s="325" t="s">
        <v>31</v>
      </c>
      <c r="C297" s="324"/>
      <c r="D297" s="324"/>
      <c r="E297" s="324"/>
      <c r="F297" s="324"/>
      <c r="G297" s="324">
        <v>-50</v>
      </c>
    </row>
    <row r="298" spans="1:12" ht="20" customHeight="1" x14ac:dyDescent="0.2">
      <c r="A298" s="338" t="s">
        <v>2055</v>
      </c>
      <c r="B298" s="339"/>
      <c r="C298" s="340"/>
      <c r="D298" s="340"/>
      <c r="E298" s="340"/>
      <c r="F298" s="340"/>
      <c r="G298" s="340">
        <f>B194+75</f>
        <v>76.5</v>
      </c>
    </row>
    <row r="299" spans="1:12" ht="17" x14ac:dyDescent="0.2">
      <c r="A299" s="338" t="s">
        <v>2021</v>
      </c>
      <c r="B299" s="341"/>
      <c r="C299" s="340">
        <f>-1.5</f>
        <v>-1.5</v>
      </c>
      <c r="D299" s="324"/>
      <c r="E299" s="324"/>
      <c r="F299" s="324"/>
      <c r="G299" s="324"/>
    </row>
    <row r="300" spans="1:12" ht="17" x14ac:dyDescent="0.2">
      <c r="A300" s="338" t="s">
        <v>2057</v>
      </c>
      <c r="B300" s="325"/>
      <c r="C300" s="324"/>
      <c r="D300" s="324"/>
      <c r="E300" s="324"/>
      <c r="F300" s="340">
        <v>10</v>
      </c>
      <c r="G300" s="324"/>
    </row>
    <row r="301" spans="1:12" ht="17" x14ac:dyDescent="0.2">
      <c r="A301" s="338" t="s">
        <v>2065</v>
      </c>
      <c r="B301" s="339"/>
      <c r="C301" s="342">
        <v>7</v>
      </c>
      <c r="D301" s="324"/>
      <c r="E301" s="324"/>
      <c r="F301" s="324"/>
      <c r="G301" s="324"/>
    </row>
    <row r="302" spans="1:12" x14ac:dyDescent="0.2">
      <c r="A302" s="1" t="s">
        <v>2066</v>
      </c>
      <c r="C302" s="52">
        <f>SUM(C271:C301)</f>
        <v>1598</v>
      </c>
      <c r="D302" s="52">
        <f>SUM(D271:D301)</f>
        <v>170</v>
      </c>
      <c r="E302" s="52">
        <f>SUM(E271:E301)</f>
        <v>1214.5</v>
      </c>
      <c r="F302" s="52">
        <f>SUM(F271:F301)</f>
        <v>817</v>
      </c>
      <c r="G302" s="52">
        <f>SUM(G271:G301)</f>
        <v>603.5</v>
      </c>
    </row>
    <row r="304" spans="1:12" x14ac:dyDescent="0.2">
      <c r="A304" s="2" t="s">
        <v>2067</v>
      </c>
    </row>
    <row r="306" spans="1:4" x14ac:dyDescent="0.2">
      <c r="A306" s="25" t="s">
        <v>2068</v>
      </c>
      <c r="B306" s="25"/>
      <c r="C306" s="25"/>
      <c r="D306" s="25"/>
    </row>
    <row r="308" spans="1:4" x14ac:dyDescent="0.2">
      <c r="A308" s="1" t="s">
        <v>75</v>
      </c>
      <c r="B308" s="6">
        <f>F275</f>
        <v>700</v>
      </c>
      <c r="C308" s="1" t="s">
        <v>2071</v>
      </c>
    </row>
    <row r="309" spans="1:4" x14ac:dyDescent="0.2">
      <c r="A309" s="1" t="s">
        <v>102</v>
      </c>
      <c r="B309" s="6">
        <f>-(50+300+0-0-0-50)</f>
        <v>-300</v>
      </c>
      <c r="C309" s="29" t="s">
        <v>2072</v>
      </c>
    </row>
    <row r="310" spans="1:4" ht="17" thickBot="1" x14ac:dyDescent="0.25">
      <c r="A310" s="1" t="s">
        <v>78</v>
      </c>
      <c r="B310" s="344">
        <f>B308+B309</f>
        <v>400</v>
      </c>
      <c r="D310" s="1" t="s">
        <v>2073</v>
      </c>
    </row>
    <row r="311" spans="1:4" x14ac:dyDescent="0.2">
      <c r="A311" s="1" t="s">
        <v>2069</v>
      </c>
      <c r="B311" s="6">
        <f>-G291-G293</f>
        <v>-50</v>
      </c>
      <c r="C311" s="1" t="s">
        <v>2074</v>
      </c>
    </row>
    <row r="312" spans="1:4" x14ac:dyDescent="0.2">
      <c r="A312" s="1" t="s">
        <v>2070</v>
      </c>
      <c r="B312" s="6">
        <f>-B327</f>
        <v>-233.5</v>
      </c>
    </row>
    <row r="313" spans="1:4" x14ac:dyDescent="0.2">
      <c r="A313" s="1" t="s">
        <v>1461</v>
      </c>
      <c r="B313" s="6">
        <v>10</v>
      </c>
      <c r="C313" s="1" t="s">
        <v>760</v>
      </c>
    </row>
    <row r="314" spans="1:4" ht="17" thickBot="1" x14ac:dyDescent="0.25">
      <c r="A314" s="1" t="s">
        <v>1528</v>
      </c>
      <c r="B314" s="344">
        <f>SUM(B310:B313)</f>
        <v>126.5</v>
      </c>
      <c r="D314" s="1" t="s">
        <v>2079</v>
      </c>
    </row>
    <row r="315" spans="1:4" x14ac:dyDescent="0.2">
      <c r="A315" s="1" t="s">
        <v>1212</v>
      </c>
      <c r="B315" s="6">
        <f>-G289</f>
        <v>-20</v>
      </c>
      <c r="C315" s="1" t="s">
        <v>2080</v>
      </c>
    </row>
    <row r="316" spans="1:4" x14ac:dyDescent="0.2">
      <c r="A316" s="1" t="s">
        <v>1213</v>
      </c>
      <c r="B316" s="6">
        <f>F290+F285</f>
        <v>107</v>
      </c>
      <c r="C316" s="1" t="s">
        <v>2081</v>
      </c>
    </row>
    <row r="317" spans="1:4" ht="17" thickBot="1" x14ac:dyDescent="0.25">
      <c r="A317" s="1" t="s">
        <v>1529</v>
      </c>
      <c r="B317" s="344">
        <f>B314+B315+B316</f>
        <v>213.5</v>
      </c>
      <c r="D317" s="1" t="s">
        <v>2082</v>
      </c>
    </row>
    <row r="318" spans="1:4" x14ac:dyDescent="0.2">
      <c r="A318" s="1" t="s">
        <v>1530</v>
      </c>
      <c r="B318" s="6">
        <v>0</v>
      </c>
      <c r="C318" s="1" t="s">
        <v>2083</v>
      </c>
    </row>
    <row r="319" spans="1:4" ht="17" thickBot="1" x14ac:dyDescent="0.25">
      <c r="A319" s="1" t="s">
        <v>1531</v>
      </c>
      <c r="B319" s="344">
        <f>B317-B318</f>
        <v>213.5</v>
      </c>
    </row>
    <row r="321" spans="1:8" x14ac:dyDescent="0.2">
      <c r="A321" s="25" t="s">
        <v>2075</v>
      </c>
    </row>
    <row r="322" spans="1:8" x14ac:dyDescent="0.2">
      <c r="A322" s="1" t="s">
        <v>1947</v>
      </c>
      <c r="B322" s="6">
        <v>110</v>
      </c>
    </row>
    <row r="323" spans="1:8" x14ac:dyDescent="0.2">
      <c r="A323" s="1" t="s">
        <v>2076</v>
      </c>
      <c r="B323" s="6">
        <v>10</v>
      </c>
    </row>
    <row r="324" spans="1:8" x14ac:dyDescent="0.2">
      <c r="A324" s="1" t="s">
        <v>269</v>
      </c>
      <c r="B324" s="6">
        <v>15</v>
      </c>
    </row>
    <row r="325" spans="1:8" x14ac:dyDescent="0.2">
      <c r="A325" s="1" t="s">
        <v>2077</v>
      </c>
      <c r="B325" s="6">
        <v>22</v>
      </c>
    </row>
    <row r="326" spans="1:8" x14ac:dyDescent="0.2">
      <c r="A326" s="1" t="s">
        <v>2078</v>
      </c>
      <c r="B326" s="6">
        <v>76.5</v>
      </c>
    </row>
    <row r="327" spans="1:8" x14ac:dyDescent="0.2">
      <c r="A327" s="1" t="s">
        <v>281</v>
      </c>
      <c r="B327" s="329">
        <f>SUM(B322:B326)</f>
        <v>233.5</v>
      </c>
    </row>
    <row r="329" spans="1:8" x14ac:dyDescent="0.2">
      <c r="A329" s="2" t="s">
        <v>2084</v>
      </c>
    </row>
    <row r="331" spans="1:8" ht="17" thickBot="1" x14ac:dyDescent="0.25">
      <c r="B331" s="154" t="s">
        <v>11</v>
      </c>
      <c r="C331" s="154"/>
      <c r="D331" s="154"/>
      <c r="E331" s="2"/>
      <c r="F331" s="154" t="s">
        <v>1066</v>
      </c>
      <c r="G331" s="154"/>
      <c r="H331" s="154"/>
    </row>
    <row r="333" spans="1:8" x14ac:dyDescent="0.2">
      <c r="B333" s="345" t="s">
        <v>1455</v>
      </c>
      <c r="C333" s="345"/>
      <c r="D333" s="345"/>
      <c r="F333" s="16" t="s">
        <v>1458</v>
      </c>
      <c r="G333" s="16"/>
      <c r="H333" s="16"/>
    </row>
    <row r="334" spans="1:8" x14ac:dyDescent="0.2">
      <c r="B334" s="1" t="s">
        <v>2085</v>
      </c>
      <c r="D334" s="1">
        <f>592.5+300</f>
        <v>892.5</v>
      </c>
      <c r="F334" s="1" t="s">
        <v>27</v>
      </c>
      <c r="H334" s="1">
        <v>50</v>
      </c>
    </row>
    <row r="335" spans="1:8" x14ac:dyDescent="0.2">
      <c r="B335" s="1" t="s">
        <v>19</v>
      </c>
      <c r="D335" s="1">
        <v>500</v>
      </c>
      <c r="F335" s="1" t="s">
        <v>21</v>
      </c>
      <c r="H335" s="1">
        <v>20</v>
      </c>
    </row>
    <row r="336" spans="1:8" ht="17" thickBot="1" x14ac:dyDescent="0.25">
      <c r="B336" s="1" t="s">
        <v>2086</v>
      </c>
      <c r="D336" s="1">
        <v>50</v>
      </c>
      <c r="F336" s="1" t="s">
        <v>1186</v>
      </c>
      <c r="H336" s="343">
        <f>SUM(H332:H335)</f>
        <v>70</v>
      </c>
    </row>
    <row r="337" spans="2:9" x14ac:dyDescent="0.2">
      <c r="B337" s="1" t="s">
        <v>2087</v>
      </c>
      <c r="D337" s="1">
        <v>7</v>
      </c>
    </row>
    <row r="338" spans="2:9" ht="17" thickBot="1" x14ac:dyDescent="0.25">
      <c r="B338" s="1" t="s">
        <v>1544</v>
      </c>
      <c r="D338" s="343">
        <f>SUM(D334:D337)</f>
        <v>1449.5</v>
      </c>
    </row>
    <row r="339" spans="2:9" x14ac:dyDescent="0.2">
      <c r="F339" s="16" t="s">
        <v>1545</v>
      </c>
      <c r="G339" s="16"/>
      <c r="H339" s="16"/>
    </row>
    <row r="340" spans="2:9" x14ac:dyDescent="0.2">
      <c r="F340" s="1" t="s">
        <v>28</v>
      </c>
      <c r="H340" s="1">
        <v>100</v>
      </c>
    </row>
    <row r="341" spans="2:9" ht="17" thickBot="1" x14ac:dyDescent="0.25">
      <c r="B341" s="345" t="s">
        <v>1456</v>
      </c>
      <c r="C341" s="345"/>
      <c r="D341" s="345"/>
      <c r="F341" s="1" t="s">
        <v>2090</v>
      </c>
      <c r="H341" s="343">
        <f>SUM(H337:H340)</f>
        <v>100</v>
      </c>
    </row>
    <row r="342" spans="2:9" x14ac:dyDescent="0.2">
      <c r="B342" s="1" t="s">
        <v>2088</v>
      </c>
      <c r="D342" s="1">
        <f>100-1.5</f>
        <v>98.5</v>
      </c>
    </row>
    <row r="343" spans="2:9" x14ac:dyDescent="0.2">
      <c r="B343" s="1" t="s">
        <v>2089</v>
      </c>
      <c r="D343" s="1">
        <v>50</v>
      </c>
    </row>
    <row r="344" spans="2:9" ht="17" thickBot="1" x14ac:dyDescent="0.25">
      <c r="B344" s="1" t="s">
        <v>1183</v>
      </c>
      <c r="D344" s="343">
        <f>D342+D343</f>
        <v>148.5</v>
      </c>
    </row>
    <row r="345" spans="2:9" x14ac:dyDescent="0.2">
      <c r="F345" s="16" t="s">
        <v>131</v>
      </c>
      <c r="G345" s="16"/>
      <c r="H345" s="16"/>
    </row>
    <row r="346" spans="2:9" x14ac:dyDescent="0.2">
      <c r="F346" s="1" t="s">
        <v>29</v>
      </c>
      <c r="H346" s="1">
        <v>90</v>
      </c>
    </row>
    <row r="347" spans="2:9" x14ac:dyDescent="0.2">
      <c r="F347" s="1" t="s">
        <v>2091</v>
      </c>
      <c r="H347" s="1">
        <f>G356</f>
        <v>1338</v>
      </c>
      <c r="I347" s="1" t="s">
        <v>1075</v>
      </c>
    </row>
    <row r="348" spans="2:9" ht="17" thickBot="1" x14ac:dyDescent="0.25">
      <c r="F348" s="1" t="s">
        <v>1194</v>
      </c>
      <c r="H348" s="343">
        <f>H346+H347</f>
        <v>1428</v>
      </c>
    </row>
    <row r="350" spans="2:9" x14ac:dyDescent="0.2">
      <c r="B350" s="345" t="s">
        <v>1457</v>
      </c>
      <c r="C350" s="345"/>
      <c r="D350" s="345">
        <f>D338+D344</f>
        <v>1598</v>
      </c>
      <c r="F350" s="16" t="s">
        <v>1459</v>
      </c>
      <c r="G350" s="16"/>
      <c r="H350" s="16">
        <f>D350</f>
        <v>1598</v>
      </c>
    </row>
    <row r="351" spans="2:9" x14ac:dyDescent="0.2">
      <c r="H351" s="1" t="s">
        <v>2092</v>
      </c>
    </row>
    <row r="352" spans="2:9" x14ac:dyDescent="0.2">
      <c r="H352" s="1" t="s">
        <v>2093</v>
      </c>
    </row>
    <row r="353" spans="7:8" x14ac:dyDescent="0.2">
      <c r="H353" s="1" t="s">
        <v>2094</v>
      </c>
    </row>
    <row r="355" spans="7:8" x14ac:dyDescent="0.2">
      <c r="H355" s="1" t="s">
        <v>2095</v>
      </c>
    </row>
    <row r="356" spans="7:8" x14ac:dyDescent="0.2">
      <c r="G356" s="6">
        <f>1598-90-100-70</f>
        <v>1338</v>
      </c>
      <c r="H356" s="6" t="s">
        <v>1075</v>
      </c>
    </row>
  </sheetData>
  <mergeCells count="1">
    <mergeCell ref="A1:H1"/>
  </mergeCell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DA3C01-C3EC-9349-9631-6FCF5129D6CA}">
  <dimension ref="A1:L238"/>
  <sheetViews>
    <sheetView rightToLeft="1" topLeftCell="A25" zoomScale="215" zoomScaleNormal="150" workbookViewId="0">
      <selection activeCell="L184" sqref="L184"/>
    </sheetView>
  </sheetViews>
  <sheetFormatPr baseColWidth="10" defaultRowHeight="16" x14ac:dyDescent="0.2"/>
  <cols>
    <col min="1" max="1" width="17.33203125" style="13" customWidth="1"/>
    <col min="2" max="2" width="10.83203125" style="13"/>
    <col min="3" max="16384" width="10.83203125" style="1"/>
  </cols>
  <sheetData>
    <row r="1" spans="1:12" ht="36" x14ac:dyDescent="0.4">
      <c r="A1" s="240" t="s">
        <v>0</v>
      </c>
      <c r="B1" s="75"/>
      <c r="C1" s="3"/>
      <c r="D1" s="3"/>
      <c r="E1" s="3"/>
      <c r="F1" s="3"/>
      <c r="G1" s="3"/>
      <c r="H1" s="250">
        <v>45600</v>
      </c>
    </row>
    <row r="2" spans="1:12" ht="17" thickBot="1" x14ac:dyDescent="0.25"/>
    <row r="3" spans="1:12" x14ac:dyDescent="0.2">
      <c r="A3" s="272" t="s">
        <v>1</v>
      </c>
      <c r="B3" s="105"/>
      <c r="C3" s="100"/>
      <c r="D3" s="100"/>
      <c r="E3" s="100"/>
      <c r="F3" s="100"/>
      <c r="G3" s="100"/>
      <c r="H3" s="19"/>
    </row>
    <row r="4" spans="1:12" x14ac:dyDescent="0.2">
      <c r="A4" s="262" t="s">
        <v>2289</v>
      </c>
      <c r="H4" s="107"/>
    </row>
    <row r="5" spans="1:12" x14ac:dyDescent="0.2">
      <c r="A5" s="262" t="s">
        <v>2290</v>
      </c>
      <c r="H5" s="107"/>
    </row>
    <row r="6" spans="1:12" x14ac:dyDescent="0.2">
      <c r="A6" s="262"/>
      <c r="H6" s="107"/>
    </row>
    <row r="7" spans="1:12" x14ac:dyDescent="0.2">
      <c r="A7" s="262" t="s">
        <v>2291</v>
      </c>
      <c r="H7" s="107"/>
    </row>
    <row r="8" spans="1:12" x14ac:dyDescent="0.2">
      <c r="A8" s="262" t="s">
        <v>2292</v>
      </c>
      <c r="H8" s="107"/>
    </row>
    <row r="9" spans="1:12" x14ac:dyDescent="0.2">
      <c r="A9" s="262" t="s">
        <v>2293</v>
      </c>
      <c r="H9" s="107"/>
    </row>
    <row r="10" spans="1:12" x14ac:dyDescent="0.2">
      <c r="A10" s="262" t="s">
        <v>2294</v>
      </c>
      <c r="H10" s="107"/>
    </row>
    <row r="11" spans="1:12" x14ac:dyDescent="0.2">
      <c r="A11" s="262" t="s">
        <v>2295</v>
      </c>
      <c r="H11" s="107"/>
    </row>
    <row r="12" spans="1:12" ht="17" thickBot="1" x14ac:dyDescent="0.25">
      <c r="A12" s="265" t="s">
        <v>2</v>
      </c>
      <c r="B12" s="266"/>
      <c r="C12" s="103"/>
      <c r="D12" s="103"/>
      <c r="E12" s="103"/>
      <c r="F12" s="103"/>
      <c r="G12" s="103"/>
      <c r="H12" s="21"/>
    </row>
    <row r="14" spans="1:12" x14ac:dyDescent="0.2">
      <c r="A14" s="241" t="s">
        <v>3</v>
      </c>
      <c r="B14" s="242"/>
      <c r="C14" s="5"/>
      <c r="D14" s="5"/>
      <c r="E14" s="5"/>
      <c r="F14" s="5"/>
      <c r="G14" s="5"/>
      <c r="H14" s="5"/>
    </row>
    <row r="15" spans="1:12" ht="17" thickBot="1" x14ac:dyDescent="0.25"/>
    <row r="16" spans="1:12" x14ac:dyDescent="0.2">
      <c r="A16" s="385" t="s">
        <v>2872</v>
      </c>
      <c r="B16" s="105"/>
      <c r="C16" s="100"/>
      <c r="D16" s="100"/>
      <c r="E16" s="100"/>
      <c r="F16" s="100"/>
      <c r="G16" s="100"/>
      <c r="H16" s="19"/>
      <c r="J16" s="2" t="s">
        <v>2298</v>
      </c>
      <c r="K16" s="2"/>
      <c r="L16" s="2"/>
    </row>
    <row r="17" spans="1:10" x14ac:dyDescent="0.2">
      <c r="A17" s="386" t="s">
        <v>7</v>
      </c>
      <c r="B17" s="75"/>
      <c r="E17" s="560" t="s">
        <v>2873</v>
      </c>
      <c r="F17" s="560"/>
      <c r="G17" s="560"/>
      <c r="H17" s="561"/>
      <c r="J17"/>
    </row>
    <row r="18" spans="1:10" x14ac:dyDescent="0.2">
      <c r="A18" s="262"/>
      <c r="C18" s="1" t="s">
        <v>4</v>
      </c>
      <c r="H18" s="107"/>
    </row>
    <row r="19" spans="1:10" x14ac:dyDescent="0.2">
      <c r="A19" s="262"/>
      <c r="C19" s="1" t="s">
        <v>5</v>
      </c>
      <c r="H19" s="107"/>
    </row>
    <row r="20" spans="1:10" ht="17" thickBot="1" x14ac:dyDescent="0.25">
      <c r="A20" s="265"/>
      <c r="B20" s="266"/>
      <c r="C20" s="103" t="s">
        <v>6</v>
      </c>
      <c r="D20" s="103"/>
      <c r="E20" s="103"/>
      <c r="F20" s="103"/>
      <c r="G20" s="103"/>
      <c r="H20" s="21"/>
    </row>
    <row r="22" spans="1:10" x14ac:dyDescent="0.2">
      <c r="A22" s="13" t="s">
        <v>2300</v>
      </c>
    </row>
    <row r="23" spans="1:10" x14ac:dyDescent="0.2">
      <c r="A23" s="13" t="s">
        <v>2297</v>
      </c>
    </row>
    <row r="25" spans="1:10" x14ac:dyDescent="0.2">
      <c r="A25" s="13" t="s">
        <v>2302</v>
      </c>
    </row>
    <row r="26" spans="1:10" x14ac:dyDescent="0.2">
      <c r="A26" s="13" t="s">
        <v>2301</v>
      </c>
    </row>
    <row r="28" spans="1:10" x14ac:dyDescent="0.2">
      <c r="A28" s="13" t="s">
        <v>2296</v>
      </c>
      <c r="J28" s="1" t="s">
        <v>2299</v>
      </c>
    </row>
    <row r="46" spans="1:1" x14ac:dyDescent="0.2">
      <c r="A46" s="14" t="s">
        <v>2303</v>
      </c>
    </row>
    <row r="67" spans="1:6" x14ac:dyDescent="0.2">
      <c r="A67" s="14" t="s">
        <v>2882</v>
      </c>
    </row>
    <row r="68" spans="1:6" x14ac:dyDescent="0.2">
      <c r="A68" s="13" t="s">
        <v>2874</v>
      </c>
    </row>
    <row r="69" spans="1:6" x14ac:dyDescent="0.2">
      <c r="A69" s="13" t="s">
        <v>2875</v>
      </c>
    </row>
    <row r="71" spans="1:6" ht="34" customHeight="1" x14ac:dyDescent="0.2">
      <c r="C71" s="25" t="s">
        <v>328</v>
      </c>
      <c r="D71" s="482" t="s">
        <v>2876</v>
      </c>
      <c r="E71" s="482" t="s">
        <v>2877</v>
      </c>
    </row>
    <row r="72" spans="1:6" x14ac:dyDescent="0.2">
      <c r="C72" s="1">
        <v>2020</v>
      </c>
      <c r="D72" s="24">
        <v>100000</v>
      </c>
      <c r="E72" s="24">
        <v>100000</v>
      </c>
    </row>
    <row r="73" spans="1:6" x14ac:dyDescent="0.2">
      <c r="C73" s="1">
        <v>2021</v>
      </c>
      <c r="D73" s="24">
        <v>150000</v>
      </c>
      <c r="E73" s="24">
        <v>90000</v>
      </c>
    </row>
    <row r="74" spans="1:6" x14ac:dyDescent="0.2">
      <c r="C74" s="1">
        <v>2022</v>
      </c>
      <c r="D74" s="24">
        <v>80000</v>
      </c>
      <c r="E74" s="24">
        <v>120000</v>
      </c>
    </row>
    <row r="75" spans="1:6" x14ac:dyDescent="0.2">
      <c r="C75" s="1">
        <v>2023</v>
      </c>
      <c r="D75" s="24">
        <v>70000</v>
      </c>
      <c r="E75" s="24">
        <v>50000</v>
      </c>
    </row>
    <row r="77" spans="1:6" x14ac:dyDescent="0.2">
      <c r="A77" s="13" t="s">
        <v>327</v>
      </c>
    </row>
    <row r="79" spans="1:6" x14ac:dyDescent="0.2">
      <c r="C79" s="25" t="s">
        <v>328</v>
      </c>
      <c r="D79" s="25" t="s">
        <v>2878</v>
      </c>
      <c r="E79" s="25"/>
      <c r="F79" s="25"/>
    </row>
    <row r="80" spans="1:6" x14ac:dyDescent="0.2">
      <c r="C80" s="1">
        <v>2020</v>
      </c>
      <c r="D80" s="24">
        <f>D72</f>
        <v>100000</v>
      </c>
    </row>
    <row r="81" spans="1:4" x14ac:dyDescent="0.2">
      <c r="C81" s="1">
        <v>2021</v>
      </c>
      <c r="D81" s="24">
        <f>D73</f>
        <v>150000</v>
      </c>
    </row>
    <row r="82" spans="1:4" x14ac:dyDescent="0.2">
      <c r="C82" s="1">
        <v>2022</v>
      </c>
      <c r="D82" s="24">
        <f>D74</f>
        <v>80000</v>
      </c>
    </row>
    <row r="83" spans="1:4" x14ac:dyDescent="0.2">
      <c r="C83" s="1">
        <v>2023</v>
      </c>
      <c r="D83" s="24">
        <f>D75</f>
        <v>70000</v>
      </c>
    </row>
    <row r="85" spans="1:4" x14ac:dyDescent="0.2">
      <c r="A85" s="13" t="s">
        <v>2879</v>
      </c>
    </row>
    <row r="86" spans="1:4" x14ac:dyDescent="0.2">
      <c r="A86" s="13" t="s">
        <v>2881</v>
      </c>
    </row>
    <row r="87" spans="1:4" x14ac:dyDescent="0.2">
      <c r="A87" s="14" t="s">
        <v>2880</v>
      </c>
    </row>
    <row r="89" spans="1:4" x14ac:dyDescent="0.2">
      <c r="A89" s="14" t="s">
        <v>2883</v>
      </c>
    </row>
    <row r="90" spans="1:4" x14ac:dyDescent="0.2">
      <c r="A90" s="13" t="s">
        <v>2884</v>
      </c>
    </row>
    <row r="91" spans="1:4" x14ac:dyDescent="0.2">
      <c r="A91" s="13" t="s">
        <v>2885</v>
      </c>
    </row>
    <row r="93" spans="1:4" x14ac:dyDescent="0.2">
      <c r="A93" s="13" t="s">
        <v>2886</v>
      </c>
    </row>
    <row r="94" spans="1:4" x14ac:dyDescent="0.2">
      <c r="A94" s="13" t="s">
        <v>2887</v>
      </c>
    </row>
    <row r="96" spans="1:4" x14ac:dyDescent="0.2">
      <c r="A96" s="13" t="s">
        <v>2888</v>
      </c>
    </row>
    <row r="97" spans="1:11" x14ac:dyDescent="0.2">
      <c r="A97" s="13" t="s">
        <v>2890</v>
      </c>
    </row>
    <row r="98" spans="1:11" x14ac:dyDescent="0.2">
      <c r="A98" s="13" t="s">
        <v>2889</v>
      </c>
    </row>
    <row r="100" spans="1:11" x14ac:dyDescent="0.2">
      <c r="A100" s="14" t="s">
        <v>2891</v>
      </c>
    </row>
    <row r="102" spans="1:11" x14ac:dyDescent="0.2">
      <c r="F102" s="562" t="s">
        <v>2896</v>
      </c>
      <c r="G102" s="562"/>
      <c r="H102" s="562"/>
    </row>
    <row r="103" spans="1:11" x14ac:dyDescent="0.2">
      <c r="G103" s="166"/>
    </row>
    <row r="104" spans="1:11" x14ac:dyDescent="0.2">
      <c r="I104" s="24"/>
    </row>
    <row r="105" spans="1:11" x14ac:dyDescent="0.2">
      <c r="E105" s="120">
        <v>45108</v>
      </c>
      <c r="G105" s="451">
        <v>44926</v>
      </c>
      <c r="I105" s="451">
        <v>44743</v>
      </c>
    </row>
    <row r="106" spans="1:11" x14ac:dyDescent="0.2">
      <c r="C106" s="120"/>
      <c r="E106" s="120"/>
      <c r="G106" s="120"/>
      <c r="I106" s="451"/>
      <c r="K106" s="120"/>
    </row>
    <row r="107" spans="1:11" x14ac:dyDescent="0.2">
      <c r="I107" s="6" t="s">
        <v>2892</v>
      </c>
    </row>
    <row r="108" spans="1:11" x14ac:dyDescent="0.2">
      <c r="F108" s="6" t="s">
        <v>2543</v>
      </c>
      <c r="H108" s="150" t="s">
        <v>2897</v>
      </c>
      <c r="I108" s="6" t="s">
        <v>2893</v>
      </c>
    </row>
    <row r="109" spans="1:11" x14ac:dyDescent="0.2">
      <c r="F109" s="6" t="s">
        <v>1708</v>
      </c>
      <c r="H109" s="150" t="s">
        <v>1708</v>
      </c>
      <c r="I109" s="41">
        <v>10000</v>
      </c>
    </row>
    <row r="110" spans="1:11" x14ac:dyDescent="0.2">
      <c r="F110" s="6" t="s">
        <v>2898</v>
      </c>
      <c r="G110" s="24"/>
      <c r="H110" s="6" t="s">
        <v>2898</v>
      </c>
    </row>
    <row r="111" spans="1:11" x14ac:dyDescent="0.2">
      <c r="E111" s="1" t="s">
        <v>2895</v>
      </c>
      <c r="F111" s="6" t="s">
        <v>2903</v>
      </c>
      <c r="H111" s="6" t="s">
        <v>328</v>
      </c>
      <c r="I111" s="1" t="s">
        <v>2894</v>
      </c>
    </row>
    <row r="112" spans="1:11" x14ac:dyDescent="0.2">
      <c r="F112" s="6" t="s">
        <v>2904</v>
      </c>
      <c r="H112" s="6" t="s">
        <v>2899</v>
      </c>
    </row>
    <row r="113" spans="1:8" x14ac:dyDescent="0.2">
      <c r="F113" s="6" t="s">
        <v>2899</v>
      </c>
      <c r="H113" s="483">
        <v>5000</v>
      </c>
    </row>
    <row r="114" spans="1:8" x14ac:dyDescent="0.2">
      <c r="F114" s="41">
        <v>5000</v>
      </c>
      <c r="H114" s="6" t="s">
        <v>2900</v>
      </c>
    </row>
    <row r="115" spans="1:8" x14ac:dyDescent="0.2">
      <c r="D115" s="2"/>
      <c r="H115" s="6" t="s">
        <v>2901</v>
      </c>
    </row>
    <row r="117" spans="1:8" x14ac:dyDescent="0.2">
      <c r="D117" s="1" t="s">
        <v>2905</v>
      </c>
      <c r="F117" s="41">
        <v>5000</v>
      </c>
      <c r="H117" s="1" t="s">
        <v>2902</v>
      </c>
    </row>
    <row r="118" spans="1:8" x14ac:dyDescent="0.2">
      <c r="D118" s="2"/>
    </row>
    <row r="119" spans="1:8" ht="17" thickBot="1" x14ac:dyDescent="0.25"/>
    <row r="120" spans="1:8" x14ac:dyDescent="0.2">
      <c r="A120" s="484" t="s">
        <v>2910</v>
      </c>
      <c r="B120" s="485"/>
      <c r="C120" s="486"/>
      <c r="D120" s="486"/>
      <c r="E120" s="100"/>
      <c r="F120" s="100"/>
      <c r="G120" s="100"/>
      <c r="H120" s="19"/>
    </row>
    <row r="121" spans="1:8" x14ac:dyDescent="0.2">
      <c r="A121" s="262" t="s">
        <v>2906</v>
      </c>
      <c r="H121" s="107"/>
    </row>
    <row r="122" spans="1:8" x14ac:dyDescent="0.2">
      <c r="A122" s="262" t="s">
        <v>2907</v>
      </c>
      <c r="H122" s="107"/>
    </row>
    <row r="123" spans="1:8" x14ac:dyDescent="0.2">
      <c r="A123" s="262" t="s">
        <v>2908</v>
      </c>
      <c r="H123" s="107"/>
    </row>
    <row r="124" spans="1:8" ht="17" thickBot="1" x14ac:dyDescent="0.25">
      <c r="A124" s="265" t="s">
        <v>2909</v>
      </c>
      <c r="B124" s="266"/>
      <c r="C124" s="103"/>
      <c r="D124" s="103"/>
      <c r="E124" s="103"/>
      <c r="F124" s="103"/>
      <c r="G124" s="103"/>
      <c r="H124" s="21"/>
    </row>
    <row r="127" spans="1:8" ht="23" x14ac:dyDescent="0.25">
      <c r="A127" s="487" t="s">
        <v>2911</v>
      </c>
    </row>
    <row r="128" spans="1:8" ht="17" thickBot="1" x14ac:dyDescent="0.25"/>
    <row r="129" spans="1:8" x14ac:dyDescent="0.2">
      <c r="A129" s="385" t="s">
        <v>2912</v>
      </c>
      <c r="B129" s="105"/>
      <c r="C129" s="100"/>
      <c r="D129" s="100"/>
      <c r="E129" s="100"/>
      <c r="F129" s="100"/>
      <c r="G129" s="100"/>
      <c r="H129" s="19"/>
    </row>
    <row r="130" spans="1:8" ht="17" thickBot="1" x14ac:dyDescent="0.25">
      <c r="A130" s="387" t="s">
        <v>2913</v>
      </c>
      <c r="B130" s="311"/>
      <c r="C130" s="336"/>
      <c r="D130" s="103"/>
      <c r="E130" s="103"/>
      <c r="F130" s="103"/>
      <c r="G130" s="103"/>
      <c r="H130" s="21"/>
    </row>
    <row r="131" spans="1:8" ht="17" thickBot="1" x14ac:dyDescent="0.25"/>
    <row r="132" spans="1:8" ht="17" thickBot="1" x14ac:dyDescent="0.25">
      <c r="B132" s="388" t="s">
        <v>11</v>
      </c>
      <c r="C132" s="147"/>
      <c r="E132" s="146" t="s">
        <v>12</v>
      </c>
      <c r="F132" s="121"/>
      <c r="G132" s="121"/>
      <c r="H132" s="147"/>
    </row>
    <row r="133" spans="1:8" x14ac:dyDescent="0.2">
      <c r="B133" s="13" t="s">
        <v>140</v>
      </c>
      <c r="C133" s="1">
        <v>100</v>
      </c>
      <c r="E133" s="1" t="s">
        <v>27</v>
      </c>
      <c r="H133" s="1">
        <v>100</v>
      </c>
    </row>
    <row r="134" spans="1:8" ht="17" thickBot="1" x14ac:dyDescent="0.25">
      <c r="B134" s="13" t="s">
        <v>68</v>
      </c>
      <c r="C134" s="1">
        <v>50</v>
      </c>
      <c r="E134" s="1" t="s">
        <v>2307</v>
      </c>
      <c r="H134" s="1">
        <v>200</v>
      </c>
    </row>
    <row r="135" spans="1:8" ht="17" thickBot="1" x14ac:dyDescent="0.25">
      <c r="B135" s="13" t="s">
        <v>2304</v>
      </c>
      <c r="C135" s="1">
        <v>150</v>
      </c>
      <c r="E135" s="1" t="s">
        <v>2308</v>
      </c>
      <c r="H135" s="22">
        <f>H133+H134</f>
        <v>300</v>
      </c>
    </row>
    <row r="136" spans="1:8" ht="17" thickBot="1" x14ac:dyDescent="0.25">
      <c r="B136" s="13" t="s">
        <v>2305</v>
      </c>
      <c r="C136" s="1">
        <v>200</v>
      </c>
    </row>
    <row r="137" spans="1:8" ht="17" thickBot="1" x14ac:dyDescent="0.25">
      <c r="B137" s="13" t="s">
        <v>2306</v>
      </c>
      <c r="C137" s="1">
        <v>300</v>
      </c>
      <c r="E137" s="146" t="s">
        <v>131</v>
      </c>
      <c r="F137" s="121"/>
      <c r="G137" s="121"/>
      <c r="H137" s="147"/>
    </row>
    <row r="138" spans="1:8" x14ac:dyDescent="0.2">
      <c r="E138" s="1" t="s">
        <v>2309</v>
      </c>
      <c r="H138" s="1">
        <v>200</v>
      </c>
    </row>
    <row r="139" spans="1:8" ht="17" thickBot="1" x14ac:dyDescent="0.25">
      <c r="E139" s="1" t="s">
        <v>2310</v>
      </c>
      <c r="H139" s="1">
        <v>300</v>
      </c>
    </row>
    <row r="140" spans="1:8" ht="17" thickBot="1" x14ac:dyDescent="0.25">
      <c r="E140" s="1" t="s">
        <v>1194</v>
      </c>
      <c r="H140" s="22">
        <f>H138+H139</f>
        <v>500</v>
      </c>
    </row>
    <row r="141" spans="1:8" ht="17" thickBot="1" x14ac:dyDescent="0.25"/>
    <row r="142" spans="1:8" ht="17" thickBot="1" x14ac:dyDescent="0.25">
      <c r="B142" s="13" t="s">
        <v>281</v>
      </c>
      <c r="C142" s="22">
        <f>SUM(C133:C137)</f>
        <v>800</v>
      </c>
      <c r="D142" s="6" t="s">
        <v>79</v>
      </c>
      <c r="E142" s="1" t="s">
        <v>2311</v>
      </c>
      <c r="H142" s="22">
        <f>H135+H140</f>
        <v>800</v>
      </c>
    </row>
    <row r="144" spans="1:8" x14ac:dyDescent="0.2">
      <c r="A144" s="13" t="s">
        <v>2312</v>
      </c>
    </row>
    <row r="145" spans="1:8" x14ac:dyDescent="0.2">
      <c r="A145" s="13" t="s">
        <v>2313</v>
      </c>
    </row>
    <row r="148" spans="1:8" x14ac:dyDescent="0.2">
      <c r="A148" s="243" t="s">
        <v>8</v>
      </c>
      <c r="B148" s="244"/>
      <c r="C148" s="10"/>
      <c r="D148" s="10"/>
      <c r="E148" s="10"/>
      <c r="F148" s="10"/>
      <c r="G148" s="10"/>
      <c r="H148" s="10"/>
    </row>
    <row r="150" spans="1:8" x14ac:dyDescent="0.2">
      <c r="A150" s="13" t="s">
        <v>9</v>
      </c>
      <c r="B150" s="13" t="s">
        <v>1468</v>
      </c>
    </row>
    <row r="151" spans="1:8" s="13" customFormat="1" x14ac:dyDescent="0.2">
      <c r="A151" s="13" t="s">
        <v>10</v>
      </c>
      <c r="B151" s="13" t="s">
        <v>1467</v>
      </c>
    </row>
    <row r="152" spans="1:8" s="13" customFormat="1" x14ac:dyDescent="0.2">
      <c r="A152" s="13" t="s">
        <v>11</v>
      </c>
      <c r="B152" s="13" t="s">
        <v>2314</v>
      </c>
    </row>
    <row r="153" spans="1:8" s="13" customFormat="1" x14ac:dyDescent="0.2">
      <c r="A153" s="13" t="s">
        <v>12</v>
      </c>
      <c r="B153" s="13" t="s">
        <v>2315</v>
      </c>
    </row>
    <row r="154" spans="1:8" s="13" customFormat="1" x14ac:dyDescent="0.2">
      <c r="A154" s="13" t="s">
        <v>131</v>
      </c>
      <c r="B154" s="13" t="s">
        <v>2316</v>
      </c>
    </row>
    <row r="156" spans="1:8" x14ac:dyDescent="0.2">
      <c r="A156" s="245" t="s">
        <v>1568</v>
      </c>
      <c r="B156" s="75"/>
      <c r="C156" s="3"/>
      <c r="D156" s="3"/>
      <c r="E156" s="3"/>
      <c r="F156" s="3"/>
      <c r="G156" s="3"/>
      <c r="H156" s="3"/>
    </row>
    <row r="157" spans="1:8" x14ac:dyDescent="0.2">
      <c r="A157" s="13" t="s">
        <v>13</v>
      </c>
    </row>
    <row r="159" spans="1:8" x14ac:dyDescent="0.2">
      <c r="A159" s="246" t="s">
        <v>14</v>
      </c>
      <c r="B159" s="246" t="s">
        <v>15</v>
      </c>
      <c r="C159" s="9" t="s">
        <v>11</v>
      </c>
      <c r="D159" s="9" t="s">
        <v>12</v>
      </c>
      <c r="E159" s="9" t="s">
        <v>16</v>
      </c>
      <c r="F159" s="9" t="s">
        <v>9</v>
      </c>
      <c r="G159" s="9" t="s">
        <v>10</v>
      </c>
    </row>
    <row r="160" spans="1:8" x14ac:dyDescent="0.2">
      <c r="A160" s="13" t="s">
        <v>2914</v>
      </c>
      <c r="B160" s="15">
        <v>32574</v>
      </c>
      <c r="C160" s="247">
        <f>B160</f>
        <v>32574</v>
      </c>
      <c r="D160" s="12"/>
      <c r="E160" s="12"/>
      <c r="F160" s="12"/>
    </row>
    <row r="161" spans="1:6" s="13" customFormat="1" x14ac:dyDescent="0.2">
      <c r="A161" s="13" t="s">
        <v>18</v>
      </c>
      <c r="B161" s="15">
        <v>16355</v>
      </c>
      <c r="C161" s="247">
        <f>B161</f>
        <v>16355</v>
      </c>
    </row>
    <row r="162" spans="1:6" s="13" customFormat="1" x14ac:dyDescent="0.2">
      <c r="A162" s="13" t="s">
        <v>19</v>
      </c>
      <c r="B162" s="15">
        <v>7317</v>
      </c>
      <c r="C162" s="15">
        <f>B162</f>
        <v>7317</v>
      </c>
    </row>
    <row r="163" spans="1:6" s="13" customFormat="1" x14ac:dyDescent="0.2">
      <c r="A163" s="13" t="s">
        <v>2920</v>
      </c>
      <c r="B163" s="15">
        <v>22922</v>
      </c>
      <c r="C163" s="15">
        <f>B163</f>
        <v>22922</v>
      </c>
      <c r="D163" s="12"/>
      <c r="E163" s="12"/>
      <c r="F163" s="12"/>
    </row>
    <row r="164" spans="1:6" s="13" customFormat="1" x14ac:dyDescent="0.2">
      <c r="A164" s="13" t="s">
        <v>21</v>
      </c>
      <c r="B164" s="15">
        <v>45866</v>
      </c>
      <c r="D164" s="15">
        <f>B164</f>
        <v>45866</v>
      </c>
      <c r="E164" s="12"/>
      <c r="F164" s="12"/>
    </row>
    <row r="165" spans="1:6" s="13" customFormat="1" x14ac:dyDescent="0.2">
      <c r="A165" s="13" t="s">
        <v>1469</v>
      </c>
      <c r="B165" s="15">
        <v>32693</v>
      </c>
      <c r="C165" s="15"/>
      <c r="D165" s="15">
        <f>B165</f>
        <v>32693</v>
      </c>
    </row>
    <row r="166" spans="1:6" s="13" customFormat="1" x14ac:dyDescent="0.2">
      <c r="A166" s="13" t="s">
        <v>22</v>
      </c>
      <c r="B166" s="15">
        <v>6977</v>
      </c>
      <c r="C166" s="15">
        <f>B166</f>
        <v>6977</v>
      </c>
    </row>
    <row r="167" spans="1:6" s="13" customFormat="1" x14ac:dyDescent="0.2">
      <c r="A167" s="13" t="s">
        <v>23</v>
      </c>
      <c r="B167" s="15">
        <v>19143</v>
      </c>
      <c r="C167" s="15">
        <f>B167</f>
        <v>19143</v>
      </c>
    </row>
    <row r="168" spans="1:6" s="13" customFormat="1" x14ac:dyDescent="0.2">
      <c r="A168" s="13" t="s">
        <v>24</v>
      </c>
      <c r="B168" s="15">
        <v>30005</v>
      </c>
      <c r="C168" s="15">
        <f>B168</f>
        <v>30005</v>
      </c>
    </row>
    <row r="169" spans="1:6" s="13" customFormat="1" x14ac:dyDescent="0.2">
      <c r="A169" s="13" t="s">
        <v>25</v>
      </c>
      <c r="B169" s="15">
        <v>33820</v>
      </c>
      <c r="C169" s="15">
        <f>B169</f>
        <v>33820</v>
      </c>
    </row>
    <row r="170" spans="1:6" s="13" customFormat="1" x14ac:dyDescent="0.2">
      <c r="A170" s="13" t="s">
        <v>26</v>
      </c>
      <c r="B170" s="15">
        <v>13019</v>
      </c>
      <c r="C170" s="15">
        <f>B170</f>
        <v>13019</v>
      </c>
    </row>
    <row r="171" spans="1:6" s="13" customFormat="1" x14ac:dyDescent="0.2">
      <c r="A171" s="13" t="s">
        <v>27</v>
      </c>
      <c r="B171" s="15">
        <v>20403</v>
      </c>
      <c r="C171" s="15"/>
      <c r="D171" s="15">
        <f>B171</f>
        <v>20403</v>
      </c>
    </row>
    <row r="172" spans="1:6" s="13" customFormat="1" ht="17" thickBot="1" x14ac:dyDescent="0.25">
      <c r="A172" s="13" t="s">
        <v>28</v>
      </c>
      <c r="B172" s="15">
        <v>45250</v>
      </c>
      <c r="C172" s="15"/>
      <c r="D172" s="15">
        <f>B172</f>
        <v>45250</v>
      </c>
    </row>
    <row r="173" spans="1:6" s="13" customFormat="1" x14ac:dyDescent="0.2">
      <c r="A173" s="13" t="s">
        <v>29</v>
      </c>
      <c r="B173" s="15">
        <v>49006</v>
      </c>
      <c r="C173" s="15"/>
      <c r="E173" s="488">
        <f>B173</f>
        <v>49006</v>
      </c>
    </row>
    <row r="174" spans="1:6" s="13" customFormat="1" ht="17" thickBot="1" x14ac:dyDescent="0.25">
      <c r="A174" s="13" t="s">
        <v>30</v>
      </c>
      <c r="B174" s="15">
        <v>50000</v>
      </c>
      <c r="C174" s="15"/>
      <c r="E174" s="489">
        <f>B174</f>
        <v>50000</v>
      </c>
    </row>
    <row r="175" spans="1:6" s="13" customFormat="1" x14ac:dyDescent="0.2">
      <c r="A175" s="13" t="s">
        <v>1470</v>
      </c>
      <c r="B175" s="15">
        <v>10000</v>
      </c>
      <c r="C175" s="15"/>
      <c r="D175" s="15"/>
      <c r="E175" s="15"/>
      <c r="F175" s="15">
        <f>B175</f>
        <v>10000</v>
      </c>
    </row>
    <row r="176" spans="1:6" s="13" customFormat="1" x14ac:dyDescent="0.2">
      <c r="A176" s="13" t="s">
        <v>1274</v>
      </c>
      <c r="B176" s="15">
        <v>12000</v>
      </c>
      <c r="C176" s="15"/>
      <c r="D176" s="15"/>
      <c r="E176" s="15"/>
      <c r="F176" s="15">
        <f>B176</f>
        <v>12000</v>
      </c>
    </row>
    <row r="177" spans="1:7" s="13" customFormat="1" x14ac:dyDescent="0.2">
      <c r="A177" s="13" t="s">
        <v>1471</v>
      </c>
      <c r="B177" s="15">
        <v>11000</v>
      </c>
      <c r="C177" s="15"/>
      <c r="D177" s="15"/>
      <c r="E177" s="15"/>
      <c r="F177" s="15">
        <f>B177</f>
        <v>11000</v>
      </c>
    </row>
    <row r="178" spans="1:7" s="13" customFormat="1" x14ac:dyDescent="0.2">
      <c r="A178" s="13" t="s">
        <v>1472</v>
      </c>
      <c r="B178" s="15">
        <v>18000</v>
      </c>
      <c r="C178" s="15"/>
      <c r="D178" s="15"/>
      <c r="E178" s="15"/>
      <c r="F178" s="15">
        <f>B178</f>
        <v>18000</v>
      </c>
    </row>
    <row r="179" spans="1:7" s="13" customFormat="1" x14ac:dyDescent="0.2">
      <c r="A179" s="13" t="s">
        <v>1473</v>
      </c>
      <c r="B179" s="15">
        <v>67000</v>
      </c>
      <c r="G179" s="15">
        <f t="shared" ref="G179:G186" si="0">B179</f>
        <v>67000</v>
      </c>
    </row>
    <row r="180" spans="1:7" s="13" customFormat="1" x14ac:dyDescent="0.2">
      <c r="A180" s="13" t="s">
        <v>267</v>
      </c>
      <c r="B180" s="15">
        <v>12000</v>
      </c>
      <c r="G180" s="15">
        <f t="shared" si="0"/>
        <v>12000</v>
      </c>
    </row>
    <row r="181" spans="1:7" s="13" customFormat="1" x14ac:dyDescent="0.2">
      <c r="A181" s="13" t="s">
        <v>1474</v>
      </c>
      <c r="B181" s="15">
        <v>11000</v>
      </c>
      <c r="G181" s="15">
        <f t="shared" si="0"/>
        <v>11000</v>
      </c>
    </row>
    <row r="182" spans="1:7" s="13" customFormat="1" x14ac:dyDescent="0.2">
      <c r="A182" s="13" t="s">
        <v>1475</v>
      </c>
      <c r="B182" s="15">
        <v>13000</v>
      </c>
      <c r="G182" s="15">
        <f t="shared" si="0"/>
        <v>13000</v>
      </c>
    </row>
    <row r="183" spans="1:7" s="13" customFormat="1" x14ac:dyDescent="0.2">
      <c r="A183" s="13" t="s">
        <v>1476</v>
      </c>
      <c r="B183" s="15">
        <v>5000</v>
      </c>
      <c r="G183" s="15">
        <f t="shared" si="0"/>
        <v>5000</v>
      </c>
    </row>
    <row r="184" spans="1:7" s="13" customFormat="1" x14ac:dyDescent="0.2">
      <c r="A184" s="13" t="s">
        <v>1477</v>
      </c>
      <c r="B184" s="15">
        <v>2000</v>
      </c>
      <c r="C184" s="15"/>
      <c r="D184" s="15"/>
      <c r="E184" s="15"/>
      <c r="F184" s="15"/>
      <c r="G184" s="15">
        <f t="shared" si="0"/>
        <v>2000</v>
      </c>
    </row>
    <row r="185" spans="1:7" s="13" customFormat="1" x14ac:dyDescent="0.2">
      <c r="A185" s="13" t="s">
        <v>1478</v>
      </c>
      <c r="B185" s="15">
        <v>1000</v>
      </c>
      <c r="G185" s="15">
        <f t="shared" si="0"/>
        <v>1000</v>
      </c>
    </row>
    <row r="186" spans="1:7" s="13" customFormat="1" x14ac:dyDescent="0.2">
      <c r="A186" s="13" t="s">
        <v>1479</v>
      </c>
      <c r="B186" s="15">
        <v>2000</v>
      </c>
      <c r="G186" s="15">
        <f t="shared" si="0"/>
        <v>2000</v>
      </c>
    </row>
    <row r="187" spans="1:7" s="13" customFormat="1" x14ac:dyDescent="0.2">
      <c r="A187" s="13" t="s">
        <v>1480</v>
      </c>
      <c r="B187" s="15">
        <v>5000</v>
      </c>
      <c r="C187" s="15"/>
      <c r="D187" s="15"/>
      <c r="E187" s="15"/>
      <c r="F187" s="15"/>
      <c r="G187" s="15"/>
    </row>
    <row r="190" spans="1:7" x14ac:dyDescent="0.2">
      <c r="A190" s="14" t="s">
        <v>1822</v>
      </c>
    </row>
    <row r="191" spans="1:7" x14ac:dyDescent="0.2">
      <c r="A191" s="13" t="s">
        <v>2916</v>
      </c>
    </row>
    <row r="192" spans="1:7" x14ac:dyDescent="0.2">
      <c r="A192" s="13" t="s">
        <v>2915</v>
      </c>
    </row>
    <row r="194" spans="1:1" x14ac:dyDescent="0.2">
      <c r="A194" s="13" t="s">
        <v>2917</v>
      </c>
    </row>
    <row r="196" spans="1:1" x14ac:dyDescent="0.2">
      <c r="A196" s="13" t="s">
        <v>2919</v>
      </c>
    </row>
    <row r="197" spans="1:1" x14ac:dyDescent="0.2">
      <c r="A197" s="13" t="s">
        <v>2918</v>
      </c>
    </row>
    <row r="199" spans="1:1" x14ac:dyDescent="0.2">
      <c r="A199" s="13" t="s">
        <v>2922</v>
      </c>
    </row>
    <row r="200" spans="1:1" x14ac:dyDescent="0.2">
      <c r="A200" s="13" t="s">
        <v>2921</v>
      </c>
    </row>
    <row r="202" spans="1:1" x14ac:dyDescent="0.2">
      <c r="A202" s="13" t="s">
        <v>2926</v>
      </c>
    </row>
    <row r="203" spans="1:1" x14ac:dyDescent="0.2">
      <c r="A203" s="13" t="s">
        <v>2923</v>
      </c>
    </row>
    <row r="204" spans="1:1" x14ac:dyDescent="0.2">
      <c r="A204" s="13" t="s">
        <v>2924</v>
      </c>
    </row>
    <row r="205" spans="1:1" x14ac:dyDescent="0.2">
      <c r="A205" s="13" t="s">
        <v>2925</v>
      </c>
    </row>
    <row r="207" spans="1:1" x14ac:dyDescent="0.2">
      <c r="A207" s="13" t="s">
        <v>2928</v>
      </c>
    </row>
    <row r="208" spans="1:1" x14ac:dyDescent="0.2">
      <c r="A208" s="13" t="s">
        <v>2927</v>
      </c>
    </row>
    <row r="210" spans="1:1" x14ac:dyDescent="0.2">
      <c r="A210" s="13" t="s">
        <v>2930</v>
      </c>
    </row>
    <row r="211" spans="1:1" x14ac:dyDescent="0.2">
      <c r="A211" s="13" t="s">
        <v>2929</v>
      </c>
    </row>
    <row r="213" spans="1:1" x14ac:dyDescent="0.2">
      <c r="A213" s="13" t="s">
        <v>2931</v>
      </c>
    </row>
    <row r="215" spans="1:1" x14ac:dyDescent="0.2">
      <c r="A215" s="13" t="s">
        <v>2934</v>
      </c>
    </row>
    <row r="216" spans="1:1" x14ac:dyDescent="0.2">
      <c r="A216" s="13" t="s">
        <v>2932</v>
      </c>
    </row>
    <row r="217" spans="1:1" x14ac:dyDescent="0.2">
      <c r="A217" s="13" t="s">
        <v>2933</v>
      </c>
    </row>
    <row r="219" spans="1:1" x14ac:dyDescent="0.2">
      <c r="A219" s="13" t="s">
        <v>2936</v>
      </c>
    </row>
    <row r="220" spans="1:1" x14ac:dyDescent="0.2">
      <c r="A220" s="13" t="s">
        <v>2935</v>
      </c>
    </row>
    <row r="222" spans="1:1" x14ac:dyDescent="0.2">
      <c r="A222" s="13" t="s">
        <v>2937</v>
      </c>
    </row>
    <row r="224" spans="1:1" x14ac:dyDescent="0.2">
      <c r="A224" s="13" t="s">
        <v>2938</v>
      </c>
    </row>
    <row r="226" spans="1:8" x14ac:dyDescent="0.2">
      <c r="A226" s="13" t="s">
        <v>2939</v>
      </c>
    </row>
    <row r="228" spans="1:8" x14ac:dyDescent="0.2">
      <c r="A228" s="13" t="s">
        <v>2940</v>
      </c>
    </row>
    <row r="231" spans="1:8" x14ac:dyDescent="0.2">
      <c r="A231" s="245" t="s">
        <v>1481</v>
      </c>
      <c r="B231" s="75"/>
      <c r="C231" s="3"/>
      <c r="D231" s="3"/>
      <c r="E231" s="3"/>
      <c r="F231" s="3"/>
      <c r="G231" s="3"/>
      <c r="H231" s="3"/>
    </row>
    <row r="233" spans="1:8" x14ac:dyDescent="0.2">
      <c r="A233" s="13" t="s">
        <v>1482</v>
      </c>
    </row>
    <row r="234" spans="1:8" x14ac:dyDescent="0.2">
      <c r="A234" s="13" t="s">
        <v>1483</v>
      </c>
    </row>
    <row r="235" spans="1:8" x14ac:dyDescent="0.2">
      <c r="A235" s="13" t="s">
        <v>1484</v>
      </c>
    </row>
    <row r="236" spans="1:8" x14ac:dyDescent="0.2">
      <c r="A236" s="13" t="s">
        <v>1485</v>
      </c>
    </row>
    <row r="237" spans="1:8" x14ac:dyDescent="0.2">
      <c r="A237" s="13" t="s">
        <v>1486</v>
      </c>
    </row>
    <row r="238" spans="1:8" x14ac:dyDescent="0.2">
      <c r="A238" s="13" t="s">
        <v>1487</v>
      </c>
    </row>
  </sheetData>
  <mergeCells count="2">
    <mergeCell ref="E17:H17"/>
    <mergeCell ref="F102:H102"/>
  </mergeCells>
  <pageMargins left="0.7" right="0.7" top="0.75" bottom="0.75" header="0.3" footer="0.3"/>
  <pageSetup paperSize="9" scale="80" orientation="portrait" horizontalDpi="0" verticalDpi="0"/>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B9733A-E64F-344A-AC48-687DB395B329}">
  <dimension ref="A1:A3"/>
  <sheetViews>
    <sheetView rightToLeft="1" zoomScale="193" workbookViewId="0">
      <selection activeCell="A5" sqref="A5"/>
    </sheetView>
  </sheetViews>
  <sheetFormatPr baseColWidth="10" defaultRowHeight="16" x14ac:dyDescent="0.2"/>
  <cols>
    <col min="1" max="16384" width="10.83203125" style="1"/>
  </cols>
  <sheetData>
    <row r="1" spans="1:1" x14ac:dyDescent="0.2">
      <c r="A1" s="1" t="s">
        <v>3305</v>
      </c>
    </row>
    <row r="2" spans="1:1" x14ac:dyDescent="0.2">
      <c r="A2" s="1" t="s">
        <v>3306</v>
      </c>
    </row>
    <row r="3" spans="1:1" x14ac:dyDescent="0.2">
      <c r="A3" s="1" t="s">
        <v>3307</v>
      </c>
    </row>
  </sheetData>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7597D1-06C0-3D43-8409-AD4965ACF705}">
  <dimension ref="A1:I196"/>
  <sheetViews>
    <sheetView rightToLeft="1" tabSelected="1" zoomScale="400" zoomScaleNormal="380" workbookViewId="0">
      <selection activeCell="F14" sqref="F14"/>
    </sheetView>
  </sheetViews>
  <sheetFormatPr baseColWidth="10" defaultRowHeight="16" x14ac:dyDescent="0.2"/>
  <cols>
    <col min="1" max="8" width="10.83203125" style="1"/>
    <col min="9" max="9" width="11.1640625" style="1" customWidth="1"/>
    <col min="10" max="16384" width="10.83203125" style="1"/>
  </cols>
  <sheetData>
    <row r="1" spans="1:8" x14ac:dyDescent="0.2">
      <c r="A1" s="3" t="s">
        <v>3435</v>
      </c>
      <c r="B1" s="3"/>
      <c r="C1" s="3"/>
      <c r="D1" s="3"/>
      <c r="E1" s="3"/>
      <c r="F1" s="3"/>
      <c r="G1" s="3"/>
      <c r="H1" s="249">
        <v>45677</v>
      </c>
    </row>
    <row r="4" spans="1:8" x14ac:dyDescent="0.2">
      <c r="A4" s="1" t="s">
        <v>3308</v>
      </c>
    </row>
    <row r="5" spans="1:8" x14ac:dyDescent="0.2">
      <c r="A5" s="1" t="s">
        <v>3309</v>
      </c>
    </row>
    <row r="14" spans="1:8" ht="17" thickBot="1" x14ac:dyDescent="0.25"/>
    <row r="15" spans="1:8" ht="17" thickBot="1" x14ac:dyDescent="0.25">
      <c r="A15" s="283" t="s">
        <v>3310</v>
      </c>
      <c r="B15" s="121"/>
      <c r="C15" s="121"/>
      <c r="D15" s="121"/>
      <c r="E15" s="121"/>
      <c r="F15" s="121"/>
      <c r="G15" s="121"/>
      <c r="H15" s="147"/>
    </row>
    <row r="17" spans="1:9" x14ac:dyDescent="0.2">
      <c r="A17" s="1" t="s">
        <v>883</v>
      </c>
    </row>
    <row r="18" spans="1:9" x14ac:dyDescent="0.2">
      <c r="A18" s="1" t="s">
        <v>3311</v>
      </c>
    </row>
    <row r="20" spans="1:9" ht="17" thickBot="1" x14ac:dyDescent="0.25">
      <c r="C20" s="1" t="s">
        <v>11</v>
      </c>
      <c r="F20" s="1" t="s">
        <v>1066</v>
      </c>
    </row>
    <row r="21" spans="1:9" x14ac:dyDescent="0.2">
      <c r="C21" s="18" t="s">
        <v>1164</v>
      </c>
      <c r="D21" s="19"/>
      <c r="F21" s="18" t="s">
        <v>1166</v>
      </c>
      <c r="G21" s="19"/>
    </row>
    <row r="22" spans="1:9" x14ac:dyDescent="0.2">
      <c r="C22" s="106" t="s">
        <v>140</v>
      </c>
      <c r="D22" s="107"/>
      <c r="F22" s="106" t="s">
        <v>27</v>
      </c>
      <c r="G22" s="107"/>
    </row>
    <row r="23" spans="1:9" ht="17" thickBot="1" x14ac:dyDescent="0.25">
      <c r="C23" s="106" t="s">
        <v>19</v>
      </c>
      <c r="D23" s="107"/>
      <c r="F23" s="20" t="s">
        <v>21</v>
      </c>
      <c r="G23" s="21"/>
    </row>
    <row r="24" spans="1:9" ht="17" thickBot="1" x14ac:dyDescent="0.25">
      <c r="C24" s="20" t="s">
        <v>1168</v>
      </c>
      <c r="D24" s="21"/>
    </row>
    <row r="25" spans="1:9" ht="17" thickBot="1" x14ac:dyDescent="0.25"/>
    <row r="26" spans="1:9" x14ac:dyDescent="0.2">
      <c r="C26" s="18" t="s">
        <v>1456</v>
      </c>
      <c r="D26" s="19"/>
      <c r="F26" s="18" t="s">
        <v>3312</v>
      </c>
      <c r="G26" s="19"/>
    </row>
    <row r="27" spans="1:9" ht="17" thickBot="1" x14ac:dyDescent="0.25">
      <c r="C27" s="106" t="s">
        <v>22</v>
      </c>
      <c r="D27" s="107"/>
      <c r="F27" s="20" t="s">
        <v>28</v>
      </c>
      <c r="G27" s="21"/>
    </row>
    <row r="28" spans="1:9" x14ac:dyDescent="0.2">
      <c r="C28" s="106" t="s">
        <v>23</v>
      </c>
      <c r="D28" s="107"/>
    </row>
    <row r="29" spans="1:9" ht="17" thickBot="1" x14ac:dyDescent="0.25">
      <c r="C29" s="20" t="s">
        <v>1462</v>
      </c>
      <c r="D29" s="21"/>
    </row>
    <row r="30" spans="1:9" ht="17" thickBot="1" x14ac:dyDescent="0.25"/>
    <row r="31" spans="1:9" x14ac:dyDescent="0.2">
      <c r="F31" s="159" t="s">
        <v>131</v>
      </c>
      <c r="G31" s="161"/>
      <c r="I31" s="1" t="s">
        <v>3313</v>
      </c>
    </row>
    <row r="32" spans="1:9" x14ac:dyDescent="0.2">
      <c r="F32" s="630" t="s">
        <v>3314</v>
      </c>
      <c r="G32" s="631"/>
      <c r="I32" s="1" t="s">
        <v>3315</v>
      </c>
    </row>
    <row r="33" spans="1:9" ht="17" thickBot="1" x14ac:dyDescent="0.25">
      <c r="F33" s="632" t="s">
        <v>3316</v>
      </c>
      <c r="G33" s="633"/>
      <c r="I33" s="1" t="s">
        <v>3317</v>
      </c>
    </row>
    <row r="34" spans="1:9" ht="17" thickBot="1" x14ac:dyDescent="0.25"/>
    <row r="35" spans="1:9" ht="17" thickBot="1" x14ac:dyDescent="0.25">
      <c r="C35" s="146" t="s">
        <v>1457</v>
      </c>
      <c r="D35" s="147"/>
      <c r="F35" s="146" t="s">
        <v>1193</v>
      </c>
      <c r="G35" s="147"/>
    </row>
    <row r="37" spans="1:9" x14ac:dyDescent="0.2">
      <c r="A37" s="1" t="s">
        <v>3318</v>
      </c>
    </row>
    <row r="38" spans="1:9" x14ac:dyDescent="0.2">
      <c r="A38" s="1" t="s">
        <v>3319</v>
      </c>
    </row>
    <row r="39" spans="1:9" x14ac:dyDescent="0.2">
      <c r="A39" s="1" t="s">
        <v>3320</v>
      </c>
    </row>
    <row r="40" spans="1:9" x14ac:dyDescent="0.2">
      <c r="A40" s="1" t="s">
        <v>3321</v>
      </c>
    </row>
    <row r="41" spans="1:9" x14ac:dyDescent="0.2">
      <c r="A41" s="1" t="s">
        <v>3322</v>
      </c>
    </row>
    <row r="42" spans="1:9" x14ac:dyDescent="0.2">
      <c r="A42" s="1" t="s">
        <v>3323</v>
      </c>
    </row>
    <row r="43" spans="1:9" x14ac:dyDescent="0.2">
      <c r="A43" s="1" t="s">
        <v>3324</v>
      </c>
    </row>
    <row r="44" spans="1:9" x14ac:dyDescent="0.2">
      <c r="A44" s="1" t="s">
        <v>3325</v>
      </c>
    </row>
    <row r="45" spans="1:9" x14ac:dyDescent="0.2">
      <c r="A45" s="1" t="s">
        <v>3326</v>
      </c>
    </row>
    <row r="46" spans="1:9" ht="17" thickBot="1" x14ac:dyDescent="0.25"/>
    <row r="47" spans="1:9" ht="17" thickBot="1" x14ac:dyDescent="0.25">
      <c r="A47" s="283" t="s">
        <v>3327</v>
      </c>
      <c r="B47" s="121"/>
      <c r="C47" s="121"/>
      <c r="D47" s="121"/>
      <c r="E47" s="121"/>
      <c r="F47" s="121"/>
      <c r="G47" s="121"/>
      <c r="H47" s="147"/>
    </row>
    <row r="49" spans="1:1" x14ac:dyDescent="0.2">
      <c r="A49" s="2" t="s">
        <v>1488</v>
      </c>
    </row>
    <row r="50" spans="1:1" x14ac:dyDescent="0.2">
      <c r="A50" s="1" t="s">
        <v>3328</v>
      </c>
    </row>
    <row r="51" spans="1:1" x14ac:dyDescent="0.2">
      <c r="A51" s="1" t="s">
        <v>3329</v>
      </c>
    </row>
    <row r="52" spans="1:1" x14ac:dyDescent="0.2">
      <c r="A52" s="1" t="s">
        <v>3330</v>
      </c>
    </row>
    <row r="53" spans="1:1" x14ac:dyDescent="0.2">
      <c r="A53" s="1" t="s">
        <v>3331</v>
      </c>
    </row>
    <row r="54" spans="1:1" x14ac:dyDescent="0.2">
      <c r="A54" s="1" t="s">
        <v>3332</v>
      </c>
    </row>
    <row r="55" spans="1:1" x14ac:dyDescent="0.2">
      <c r="A55" s="1" t="s">
        <v>3333</v>
      </c>
    </row>
    <row r="56" spans="1:1" x14ac:dyDescent="0.2">
      <c r="A56" s="1" t="s">
        <v>3334</v>
      </c>
    </row>
    <row r="57" spans="1:1" x14ac:dyDescent="0.2">
      <c r="A57" s="1" t="s">
        <v>3335</v>
      </c>
    </row>
    <row r="58" spans="1:1" x14ac:dyDescent="0.2">
      <c r="A58" s="1" t="s">
        <v>3336</v>
      </c>
    </row>
    <row r="59" spans="1:1" x14ac:dyDescent="0.2">
      <c r="A59" s="1" t="s">
        <v>3337</v>
      </c>
    </row>
    <row r="60" spans="1:1" x14ac:dyDescent="0.2">
      <c r="A60" s="1" t="s">
        <v>3338</v>
      </c>
    </row>
    <row r="61" spans="1:1" x14ac:dyDescent="0.2">
      <c r="A61" s="2" t="s">
        <v>3339</v>
      </c>
    </row>
    <row r="63" spans="1:1" x14ac:dyDescent="0.2">
      <c r="A63" s="2" t="s">
        <v>3340</v>
      </c>
    </row>
    <row r="64" spans="1:1" x14ac:dyDescent="0.2">
      <c r="A64" s="1" t="s">
        <v>3341</v>
      </c>
    </row>
    <row r="65" spans="1:1" x14ac:dyDescent="0.2">
      <c r="A65" s="1" t="s">
        <v>3342</v>
      </c>
    </row>
    <row r="67" spans="1:1" x14ac:dyDescent="0.2">
      <c r="A67" s="2" t="s">
        <v>3343</v>
      </c>
    </row>
    <row r="68" spans="1:1" x14ac:dyDescent="0.2">
      <c r="A68" s="1" t="s">
        <v>3344</v>
      </c>
    </row>
    <row r="69" spans="1:1" x14ac:dyDescent="0.2">
      <c r="A69" s="1" t="s">
        <v>3345</v>
      </c>
    </row>
    <row r="70" spans="1:1" x14ac:dyDescent="0.2">
      <c r="A70" s="1" t="s">
        <v>3346</v>
      </c>
    </row>
    <row r="72" spans="1:1" x14ac:dyDescent="0.2">
      <c r="A72" s="1" t="s">
        <v>3347</v>
      </c>
    </row>
    <row r="73" spans="1:1" x14ac:dyDescent="0.2">
      <c r="A73" s="1" t="s">
        <v>3348</v>
      </c>
    </row>
    <row r="81" spans="1:9" x14ac:dyDescent="0.2">
      <c r="A81" s="426" t="s">
        <v>3349</v>
      </c>
      <c r="B81" s="426"/>
      <c r="C81" s="426"/>
      <c r="D81" s="426"/>
      <c r="E81" s="426"/>
      <c r="F81" s="426"/>
      <c r="G81" s="426"/>
      <c r="H81" s="426"/>
    </row>
    <row r="82" spans="1:9" x14ac:dyDescent="0.2">
      <c r="A82" s="1" t="s">
        <v>3350</v>
      </c>
    </row>
    <row r="83" spans="1:9" x14ac:dyDescent="0.2">
      <c r="A83" s="1" t="s">
        <v>3351</v>
      </c>
    </row>
    <row r="84" spans="1:9" x14ac:dyDescent="0.2">
      <c r="A84" s="1" t="s">
        <v>3352</v>
      </c>
    </row>
    <row r="86" spans="1:9" x14ac:dyDescent="0.2">
      <c r="A86" s="2" t="s">
        <v>3353</v>
      </c>
    </row>
    <row r="88" spans="1:9" ht="34" x14ac:dyDescent="0.2">
      <c r="A88" s="25" t="s">
        <v>642</v>
      </c>
      <c r="B88" s="25"/>
      <c r="C88" s="25"/>
      <c r="D88" s="482" t="s">
        <v>3354</v>
      </c>
      <c r="E88" s="482" t="s">
        <v>3355</v>
      </c>
      <c r="F88" s="25" t="s">
        <v>3356</v>
      </c>
      <c r="G88" s="25" t="s">
        <v>3357</v>
      </c>
    </row>
    <row r="89" spans="1:9" x14ac:dyDescent="0.2">
      <c r="A89" s="1" t="s">
        <v>3358</v>
      </c>
      <c r="D89" s="23">
        <f>40000*3</f>
        <v>120000</v>
      </c>
      <c r="F89" s="23">
        <f>G89-D89</f>
        <v>165000</v>
      </c>
      <c r="G89" s="23">
        <f>285000</f>
        <v>285000</v>
      </c>
    </row>
    <row r="90" spans="1:9" x14ac:dyDescent="0.2">
      <c r="A90" s="1" t="s">
        <v>3359</v>
      </c>
      <c r="E90" s="23">
        <f>10000*1</f>
        <v>10000</v>
      </c>
      <c r="F90" s="23">
        <f>G90-E90</f>
        <v>78000</v>
      </c>
      <c r="G90" s="23">
        <v>88000</v>
      </c>
    </row>
    <row r="91" spans="1:9" ht="17" thickBot="1" x14ac:dyDescent="0.25"/>
    <row r="92" spans="1:9" x14ac:dyDescent="0.2">
      <c r="H92" s="634" t="s">
        <v>3360</v>
      </c>
      <c r="I92" s="635"/>
    </row>
    <row r="93" spans="1:9" x14ac:dyDescent="0.2">
      <c r="H93" s="636" t="s">
        <v>3361</v>
      </c>
      <c r="I93" s="637"/>
    </row>
    <row r="94" spans="1:9" x14ac:dyDescent="0.2">
      <c r="H94" s="636" t="s">
        <v>3362</v>
      </c>
      <c r="I94" s="637"/>
    </row>
    <row r="95" spans="1:9" x14ac:dyDescent="0.2">
      <c r="H95" s="636" t="s">
        <v>3363</v>
      </c>
      <c r="I95" s="637"/>
    </row>
    <row r="96" spans="1:9" ht="17" thickBot="1" x14ac:dyDescent="0.25">
      <c r="H96" s="638" t="s">
        <v>3364</v>
      </c>
      <c r="I96" s="639"/>
    </row>
    <row r="97" spans="1:8" ht="17" thickBot="1" x14ac:dyDescent="0.25"/>
    <row r="98" spans="1:8" ht="17" thickBot="1" x14ac:dyDescent="0.25">
      <c r="A98" s="283" t="s">
        <v>3365</v>
      </c>
      <c r="B98" s="121"/>
      <c r="C98" s="121"/>
      <c r="D98" s="121"/>
      <c r="E98" s="121"/>
      <c r="F98" s="121"/>
      <c r="G98" s="121"/>
      <c r="H98" s="147"/>
    </row>
    <row r="99" spans="1:8" x14ac:dyDescent="0.2">
      <c r="A99" s="1" t="s">
        <v>3366</v>
      </c>
    </row>
    <row r="100" spans="1:8" x14ac:dyDescent="0.2">
      <c r="A100" s="1" t="s">
        <v>3367</v>
      </c>
    </row>
    <row r="101" spans="1:8" x14ac:dyDescent="0.2">
      <c r="A101" s="1" t="s">
        <v>3368</v>
      </c>
    </row>
    <row r="102" spans="1:8" x14ac:dyDescent="0.2">
      <c r="A102" s="1" t="s">
        <v>3369</v>
      </c>
    </row>
    <row r="104" spans="1:8" x14ac:dyDescent="0.2">
      <c r="A104" s="426" t="s">
        <v>3370</v>
      </c>
      <c r="B104" s="426"/>
      <c r="C104" s="426"/>
      <c r="D104" s="426"/>
      <c r="E104" s="426"/>
      <c r="F104" s="426"/>
      <c r="G104" s="426"/>
      <c r="H104" s="426"/>
    </row>
    <row r="105" spans="1:8" x14ac:dyDescent="0.2">
      <c r="A105" s="1" t="s">
        <v>3371</v>
      </c>
    </row>
    <row r="106" spans="1:8" x14ac:dyDescent="0.2">
      <c r="A106" s="1" t="s">
        <v>3372</v>
      </c>
    </row>
    <row r="107" spans="1:8" x14ac:dyDescent="0.2">
      <c r="A107" s="1" t="s">
        <v>3373</v>
      </c>
    </row>
    <row r="108" spans="1:8" x14ac:dyDescent="0.2">
      <c r="A108" s="1" t="s">
        <v>3374</v>
      </c>
    </row>
    <row r="109" spans="1:8" x14ac:dyDescent="0.2">
      <c r="A109" s="1" t="s">
        <v>3375</v>
      </c>
    </row>
    <row r="110" spans="1:8" x14ac:dyDescent="0.2">
      <c r="A110" s="1" t="s">
        <v>3376</v>
      </c>
    </row>
    <row r="111" spans="1:8" x14ac:dyDescent="0.2">
      <c r="A111" s="1" t="s">
        <v>3377</v>
      </c>
    </row>
    <row r="112" spans="1:8" x14ac:dyDescent="0.2">
      <c r="A112" s="1" t="s">
        <v>3378</v>
      </c>
    </row>
    <row r="114" spans="1:8" x14ac:dyDescent="0.2">
      <c r="A114" s="1" t="s">
        <v>3379</v>
      </c>
    </row>
    <row r="116" spans="1:8" ht="34" x14ac:dyDescent="0.2">
      <c r="A116" s="1" t="s">
        <v>642</v>
      </c>
      <c r="C116" s="185" t="s">
        <v>3380</v>
      </c>
      <c r="D116" s="36" t="s">
        <v>3356</v>
      </c>
      <c r="E116" s="185" t="s">
        <v>3355</v>
      </c>
      <c r="F116" s="36"/>
      <c r="G116" s="36"/>
      <c r="H116" s="185" t="s">
        <v>3381</v>
      </c>
    </row>
    <row r="117" spans="1:8" ht="17" thickBot="1" x14ac:dyDescent="0.25">
      <c r="A117" s="1" t="s">
        <v>3382</v>
      </c>
      <c r="C117" s="44">
        <f>40000*5</f>
        <v>200000</v>
      </c>
      <c r="D117" s="44">
        <f>H117-C117</f>
        <v>278000</v>
      </c>
      <c r="E117" s="44"/>
      <c r="F117" s="44"/>
      <c r="G117" s="44"/>
      <c r="H117" s="44">
        <f>500000-22000</f>
        <v>478000</v>
      </c>
    </row>
    <row r="118" spans="1:8" x14ac:dyDescent="0.2">
      <c r="A118" s="1" t="s">
        <v>3383</v>
      </c>
      <c r="C118" s="44">
        <f>-C117</f>
        <v>-200000</v>
      </c>
      <c r="D118" s="44"/>
      <c r="E118" s="640">
        <f>-C118</f>
        <v>200000</v>
      </c>
      <c r="F118" s="44"/>
      <c r="G118" s="44"/>
      <c r="H118" s="44">
        <v>0</v>
      </c>
    </row>
    <row r="119" spans="1:8" ht="17" thickBot="1" x14ac:dyDescent="0.25">
      <c r="A119" s="1" t="s">
        <v>3384</v>
      </c>
      <c r="C119" s="44"/>
      <c r="D119" s="44">
        <f>H119-E119</f>
        <v>188000</v>
      </c>
      <c r="E119" s="641">
        <f>12000*1</f>
        <v>12000</v>
      </c>
      <c r="F119" s="44"/>
      <c r="G119" s="44"/>
      <c r="H119" s="44">
        <f>200000</f>
        <v>200000</v>
      </c>
    </row>
    <row r="120" spans="1:8" x14ac:dyDescent="0.2">
      <c r="A120" s="1" t="s">
        <v>3385</v>
      </c>
      <c r="C120" s="6"/>
      <c r="D120" s="44">
        <f>H120-E120</f>
        <v>-21200</v>
      </c>
      <c r="E120" s="44">
        <f>10%*(200000+12000)</f>
        <v>21200</v>
      </c>
      <c r="F120" s="6"/>
      <c r="G120" s="6"/>
      <c r="H120" s="6">
        <v>0</v>
      </c>
    </row>
    <row r="123" spans="1:8" x14ac:dyDescent="0.2">
      <c r="A123" s="1" t="s">
        <v>3386</v>
      </c>
    </row>
    <row r="124" spans="1:8" x14ac:dyDescent="0.2">
      <c r="A124" s="1" t="s">
        <v>3387</v>
      </c>
    </row>
    <row r="125" spans="1:8" x14ac:dyDescent="0.2">
      <c r="A125" s="1" t="s">
        <v>3388</v>
      </c>
    </row>
    <row r="126" spans="1:8" x14ac:dyDescent="0.2">
      <c r="A126" s="1" t="s">
        <v>3389</v>
      </c>
    </row>
    <row r="128" spans="1:8" x14ac:dyDescent="0.2">
      <c r="A128" s="79" t="s">
        <v>3390</v>
      </c>
      <c r="B128" s="79"/>
      <c r="C128" s="79"/>
      <c r="D128" s="79"/>
      <c r="E128" s="79"/>
      <c r="F128" s="79"/>
      <c r="G128" s="79"/>
      <c r="H128" s="79"/>
    </row>
    <row r="129" spans="1:8" x14ac:dyDescent="0.2">
      <c r="A129" s="1" t="s">
        <v>3391</v>
      </c>
    </row>
    <row r="130" spans="1:8" x14ac:dyDescent="0.2">
      <c r="A130" s="120">
        <v>44927</v>
      </c>
      <c r="B130" s="1" t="s">
        <v>3392</v>
      </c>
    </row>
    <row r="131" spans="1:8" x14ac:dyDescent="0.2">
      <c r="A131" s="120">
        <v>44989</v>
      </c>
      <c r="B131" s="1" t="s">
        <v>3393</v>
      </c>
    </row>
    <row r="132" spans="1:8" x14ac:dyDescent="0.2">
      <c r="A132" s="120">
        <v>45417</v>
      </c>
      <c r="B132" s="1" t="s">
        <v>3394</v>
      </c>
    </row>
    <row r="133" spans="1:8" x14ac:dyDescent="0.2">
      <c r="A133" s="120">
        <v>45480</v>
      </c>
      <c r="B133" s="1" t="s">
        <v>3395</v>
      </c>
    </row>
    <row r="134" spans="1:8" x14ac:dyDescent="0.2">
      <c r="A134" s="120">
        <v>45657</v>
      </c>
      <c r="B134" s="1" t="s">
        <v>3396</v>
      </c>
    </row>
    <row r="135" spans="1:8" x14ac:dyDescent="0.2">
      <c r="A135" s="120">
        <v>45657</v>
      </c>
      <c r="B135" s="1" t="s">
        <v>3397</v>
      </c>
    </row>
    <row r="136" spans="1:8" x14ac:dyDescent="0.2">
      <c r="B136" s="1" t="s">
        <v>3398</v>
      </c>
    </row>
    <row r="138" spans="1:8" x14ac:dyDescent="0.2">
      <c r="A138" s="1" t="s">
        <v>3399</v>
      </c>
    </row>
    <row r="140" spans="1:8" ht="34" x14ac:dyDescent="0.2">
      <c r="A140" s="25" t="s">
        <v>638</v>
      </c>
      <c r="B140" s="25" t="s">
        <v>403</v>
      </c>
      <c r="C140" s="25"/>
      <c r="D140" s="482" t="s">
        <v>3400</v>
      </c>
      <c r="E140" s="25" t="s">
        <v>3356</v>
      </c>
      <c r="F140" s="482" t="s">
        <v>3355</v>
      </c>
      <c r="G140" s="482" t="s">
        <v>3401</v>
      </c>
      <c r="H140" s="25" t="s">
        <v>1194</v>
      </c>
    </row>
    <row r="141" spans="1:8" x14ac:dyDescent="0.2">
      <c r="A141" s="120">
        <v>44927</v>
      </c>
      <c r="B141" s="1" t="s">
        <v>3402</v>
      </c>
      <c r="D141" s="23">
        <f>30000*4</f>
        <v>120000</v>
      </c>
      <c r="E141" s="23">
        <f>H141-D141</f>
        <v>65000</v>
      </c>
      <c r="F141" s="23"/>
      <c r="G141" s="23"/>
      <c r="H141" s="23">
        <f>190000-5000</f>
        <v>185000</v>
      </c>
    </row>
    <row r="142" spans="1:8" x14ac:dyDescent="0.2">
      <c r="A142" s="120">
        <v>44989</v>
      </c>
      <c r="B142" s="1" t="s">
        <v>3383</v>
      </c>
      <c r="D142" s="23">
        <f>-D141</f>
        <v>-120000</v>
      </c>
      <c r="E142" s="23"/>
      <c r="F142" s="23">
        <f>-D142</f>
        <v>120000</v>
      </c>
      <c r="G142" s="23"/>
      <c r="H142" s="23">
        <v>0</v>
      </c>
    </row>
    <row r="143" spans="1:8" x14ac:dyDescent="0.2">
      <c r="A143" s="120">
        <v>45417</v>
      </c>
      <c r="B143" s="1" t="s">
        <v>3403</v>
      </c>
      <c r="D143" s="23"/>
      <c r="E143" s="23">
        <f>H143-F143</f>
        <v>-12000</v>
      </c>
      <c r="F143" s="23">
        <f>10%*F142</f>
        <v>12000</v>
      </c>
      <c r="G143" s="23"/>
      <c r="H143" s="23">
        <v>0</v>
      </c>
    </row>
    <row r="144" spans="1:8" x14ac:dyDescent="0.2">
      <c r="A144" s="120">
        <v>45480</v>
      </c>
      <c r="B144" s="1" t="s">
        <v>3404</v>
      </c>
      <c r="D144" s="23"/>
      <c r="E144" s="23">
        <f>H144-F144</f>
        <v>120000</v>
      </c>
      <c r="F144" s="23">
        <f>20000*1</f>
        <v>20000</v>
      </c>
      <c r="G144" s="23"/>
      <c r="H144" s="23">
        <v>140000</v>
      </c>
    </row>
    <row r="145" spans="1:8" x14ac:dyDescent="0.2">
      <c r="A145" s="120">
        <v>45657</v>
      </c>
      <c r="B145" s="1" t="s">
        <v>3405</v>
      </c>
      <c r="D145" s="23"/>
      <c r="E145" s="23"/>
      <c r="F145" s="23"/>
      <c r="G145" s="23">
        <v>700000</v>
      </c>
      <c r="H145" s="23">
        <f>G145</f>
        <v>700000</v>
      </c>
    </row>
    <row r="146" spans="1:8" x14ac:dyDescent="0.2">
      <c r="A146" s="120">
        <v>45657</v>
      </c>
      <c r="B146" s="1" t="s">
        <v>3406</v>
      </c>
      <c r="D146" s="23"/>
      <c r="E146" s="23"/>
      <c r="F146" s="23"/>
      <c r="G146" s="23">
        <f>-240000</f>
        <v>-240000</v>
      </c>
      <c r="H146" s="23">
        <f>G146</f>
        <v>-240000</v>
      </c>
    </row>
    <row r="147" spans="1:8" x14ac:dyDescent="0.2">
      <c r="A147" s="120">
        <v>45657</v>
      </c>
      <c r="B147" s="1" t="s">
        <v>3407</v>
      </c>
      <c r="D147" s="253">
        <f>SUM(D141:D146)</f>
        <v>0</v>
      </c>
      <c r="E147" s="253">
        <f>SUM(E141:E146)</f>
        <v>173000</v>
      </c>
      <c r="F147" s="253">
        <f>SUM(F141:F146)</f>
        <v>152000</v>
      </c>
      <c r="G147" s="253">
        <f>SUM(G141:G146)</f>
        <v>460000</v>
      </c>
      <c r="H147" s="253">
        <f>SUM(H141:H146)</f>
        <v>785000</v>
      </c>
    </row>
    <row r="149" spans="1:8" x14ac:dyDescent="0.2">
      <c r="A149" s="1" t="s">
        <v>3408</v>
      </c>
    </row>
    <row r="150" spans="1:8" x14ac:dyDescent="0.2">
      <c r="A150" s="1" t="s">
        <v>3409</v>
      </c>
    </row>
    <row r="152" spans="1:8" x14ac:dyDescent="0.2">
      <c r="A152" s="79" t="s">
        <v>3410</v>
      </c>
      <c r="B152" s="79"/>
      <c r="C152" s="79"/>
      <c r="D152" s="79"/>
      <c r="E152" s="79"/>
      <c r="F152" s="79"/>
      <c r="G152" s="79"/>
      <c r="H152" s="79"/>
    </row>
    <row r="153" spans="1:8" x14ac:dyDescent="0.2">
      <c r="A153" s="1" t="s">
        <v>3411</v>
      </c>
    </row>
    <row r="154" spans="1:8" x14ac:dyDescent="0.2">
      <c r="A154" s="1" t="s">
        <v>3412</v>
      </c>
    </row>
    <row r="156" spans="1:8" x14ac:dyDescent="0.2">
      <c r="A156" s="1" t="s">
        <v>3413</v>
      </c>
    </row>
    <row r="157" spans="1:8" x14ac:dyDescent="0.2">
      <c r="A157" s="120">
        <v>37987</v>
      </c>
      <c r="B157" s="1" t="s">
        <v>3414</v>
      </c>
    </row>
    <row r="158" spans="1:8" x14ac:dyDescent="0.2">
      <c r="A158" s="120">
        <v>38005</v>
      </c>
      <c r="B158" s="1" t="s">
        <v>3415</v>
      </c>
    </row>
    <row r="159" spans="1:8" x14ac:dyDescent="0.2">
      <c r="A159" s="120">
        <v>38037</v>
      </c>
      <c r="B159" s="1" t="s">
        <v>3416</v>
      </c>
    </row>
    <row r="160" spans="1:8" x14ac:dyDescent="0.2">
      <c r="A160" s="120">
        <v>38077</v>
      </c>
      <c r="B160" s="1" t="s">
        <v>3417</v>
      </c>
    </row>
    <row r="161" spans="1:2" x14ac:dyDescent="0.2">
      <c r="A161" s="120">
        <v>38168</v>
      </c>
      <c r="B161" s="1" t="s">
        <v>3418</v>
      </c>
    </row>
    <row r="162" spans="1:2" x14ac:dyDescent="0.2">
      <c r="A162" s="120">
        <v>38352</v>
      </c>
      <c r="B162" s="1" t="s">
        <v>3419</v>
      </c>
    </row>
    <row r="163" spans="1:2" x14ac:dyDescent="0.2">
      <c r="B163" s="1" t="s">
        <v>3420</v>
      </c>
    </row>
    <row r="165" spans="1:2" x14ac:dyDescent="0.2">
      <c r="A165" s="1" t="s">
        <v>3421</v>
      </c>
    </row>
    <row r="167" spans="1:2" x14ac:dyDescent="0.2">
      <c r="A167" s="1" t="s">
        <v>3422</v>
      </c>
    </row>
    <row r="185" spans="1:2" x14ac:dyDescent="0.2">
      <c r="A185" s="1" t="s">
        <v>3423</v>
      </c>
    </row>
    <row r="186" spans="1:2" x14ac:dyDescent="0.2">
      <c r="A186" s="1" t="s">
        <v>3424</v>
      </c>
    </row>
    <row r="187" spans="1:2" x14ac:dyDescent="0.2">
      <c r="B187" s="1" t="s">
        <v>3425</v>
      </c>
    </row>
    <row r="188" spans="1:2" x14ac:dyDescent="0.2">
      <c r="B188" s="1" t="s">
        <v>3426</v>
      </c>
    </row>
    <row r="189" spans="1:2" x14ac:dyDescent="0.2">
      <c r="A189" s="1" t="s">
        <v>3427</v>
      </c>
    </row>
    <row r="190" spans="1:2" x14ac:dyDescent="0.2">
      <c r="B190" s="1" t="s">
        <v>3428</v>
      </c>
    </row>
    <row r="191" spans="1:2" x14ac:dyDescent="0.2">
      <c r="A191" s="1" t="s">
        <v>3429</v>
      </c>
    </row>
    <row r="192" spans="1:2" x14ac:dyDescent="0.2">
      <c r="B192" s="1" t="s">
        <v>3430</v>
      </c>
    </row>
    <row r="193" spans="2:2" x14ac:dyDescent="0.2">
      <c r="B193" s="1" t="s">
        <v>3431</v>
      </c>
    </row>
    <row r="194" spans="2:2" x14ac:dyDescent="0.2">
      <c r="B194" s="1" t="s">
        <v>3432</v>
      </c>
    </row>
    <row r="195" spans="2:2" x14ac:dyDescent="0.2">
      <c r="B195" s="1" t="s">
        <v>3433</v>
      </c>
    </row>
    <row r="196" spans="2:2" x14ac:dyDescent="0.2">
      <c r="B196" s="1" t="s">
        <v>3434</v>
      </c>
    </row>
  </sheetData>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A2F8D4F-592A-B247-A38B-A2CDB092F6BB}">
  <dimension ref="A1:G33"/>
  <sheetViews>
    <sheetView rightToLeft="1" zoomScale="400" workbookViewId="0">
      <selection activeCell="D23" sqref="D23"/>
    </sheetView>
  </sheetViews>
  <sheetFormatPr baseColWidth="10" defaultRowHeight="16" x14ac:dyDescent="0.2"/>
  <cols>
    <col min="1" max="16384" width="10.83203125" style="1"/>
  </cols>
  <sheetData>
    <row r="1" spans="1:7" x14ac:dyDescent="0.2">
      <c r="A1" s="1" t="s">
        <v>2841</v>
      </c>
    </row>
    <row r="2" spans="1:7" x14ac:dyDescent="0.2">
      <c r="A2" s="1" t="s">
        <v>2842</v>
      </c>
    </row>
    <row r="3" spans="1:7" ht="17" thickBot="1" x14ac:dyDescent="0.25"/>
    <row r="4" spans="1:7" x14ac:dyDescent="0.2">
      <c r="A4" s="180" t="s">
        <v>2833</v>
      </c>
      <c r="B4" s="413" t="s">
        <v>2834</v>
      </c>
      <c r="C4" s="413" t="s">
        <v>2835</v>
      </c>
      <c r="D4" s="100"/>
      <c r="E4" s="100"/>
      <c r="F4" s="100"/>
      <c r="G4" s="19"/>
    </row>
    <row r="5" spans="1:7" x14ac:dyDescent="0.2">
      <c r="A5" s="106" t="s">
        <v>2843</v>
      </c>
      <c r="G5" s="107"/>
    </row>
    <row r="6" spans="1:7" x14ac:dyDescent="0.2">
      <c r="A6" s="106" t="s">
        <v>2844</v>
      </c>
      <c r="G6" s="107"/>
    </row>
    <row r="7" spans="1:7" x14ac:dyDescent="0.2">
      <c r="A7" s="106" t="s">
        <v>2845</v>
      </c>
      <c r="G7" s="107"/>
    </row>
    <row r="8" spans="1:7" x14ac:dyDescent="0.2">
      <c r="A8" s="106" t="s">
        <v>2846</v>
      </c>
      <c r="G8" s="107"/>
    </row>
    <row r="9" spans="1:7" x14ac:dyDescent="0.2">
      <c r="A9" s="106" t="s">
        <v>2847</v>
      </c>
      <c r="G9" s="107"/>
    </row>
    <row r="10" spans="1:7" x14ac:dyDescent="0.2">
      <c r="A10" s="106" t="s">
        <v>2848</v>
      </c>
      <c r="G10" s="107"/>
    </row>
    <row r="11" spans="1:7" x14ac:dyDescent="0.2">
      <c r="A11" s="106" t="s">
        <v>2849</v>
      </c>
      <c r="G11" s="107"/>
    </row>
    <row r="12" spans="1:7" x14ac:dyDescent="0.2">
      <c r="A12" s="106" t="s">
        <v>2850</v>
      </c>
      <c r="G12" s="107"/>
    </row>
    <row r="13" spans="1:7" x14ac:dyDescent="0.2">
      <c r="A13" s="151" t="s">
        <v>2851</v>
      </c>
      <c r="G13" s="107"/>
    </row>
    <row r="14" spans="1:7" ht="17" thickBot="1" x14ac:dyDescent="0.25">
      <c r="A14" s="20" t="s">
        <v>2852</v>
      </c>
      <c r="B14" s="103"/>
      <c r="C14" s="103"/>
      <c r="D14" s="103"/>
      <c r="E14" s="103"/>
      <c r="F14" s="103"/>
      <c r="G14" s="21"/>
    </row>
    <row r="15" spans="1:7" ht="17" thickBot="1" x14ac:dyDescent="0.25"/>
    <row r="16" spans="1:7" x14ac:dyDescent="0.2">
      <c r="A16" s="180" t="s">
        <v>2836</v>
      </c>
      <c r="B16" s="413" t="s">
        <v>2853</v>
      </c>
      <c r="C16" s="100"/>
      <c r="D16" s="100"/>
      <c r="E16" s="100"/>
      <c r="F16" s="100"/>
      <c r="G16" s="19"/>
    </row>
    <row r="17" spans="1:7" x14ac:dyDescent="0.2">
      <c r="A17" s="106" t="s">
        <v>317</v>
      </c>
      <c r="B17" s="1" t="s">
        <v>2837</v>
      </c>
      <c r="C17" s="1" t="s">
        <v>2838</v>
      </c>
      <c r="D17" s="1" t="s">
        <v>2854</v>
      </c>
      <c r="G17" s="107"/>
    </row>
    <row r="18" spans="1:7" x14ac:dyDescent="0.2">
      <c r="A18" s="106" t="s">
        <v>350</v>
      </c>
      <c r="B18" s="1" t="s">
        <v>2839</v>
      </c>
      <c r="C18" s="1" t="s">
        <v>2838</v>
      </c>
      <c r="D18" s="1" t="s">
        <v>2855</v>
      </c>
      <c r="G18" s="107"/>
    </row>
    <row r="19" spans="1:7" x14ac:dyDescent="0.2">
      <c r="A19" s="106" t="s">
        <v>2256</v>
      </c>
      <c r="B19" s="1" t="s">
        <v>19</v>
      </c>
      <c r="C19" s="1" t="s">
        <v>2838</v>
      </c>
      <c r="D19" s="1" t="s">
        <v>2856</v>
      </c>
      <c r="G19" s="107"/>
    </row>
    <row r="20" spans="1:7" x14ac:dyDescent="0.2">
      <c r="A20" s="106" t="s">
        <v>2840</v>
      </c>
      <c r="B20" s="629" t="s">
        <v>22</v>
      </c>
      <c r="C20" s="629" t="s">
        <v>2838</v>
      </c>
      <c r="D20" s="629" t="s">
        <v>2857</v>
      </c>
      <c r="E20" s="629"/>
      <c r="F20" s="629"/>
      <c r="G20" s="107"/>
    </row>
    <row r="21" spans="1:7" x14ac:dyDescent="0.2">
      <c r="A21" s="324" t="s">
        <v>3302</v>
      </c>
      <c r="B21" s="324" t="s">
        <v>3303</v>
      </c>
      <c r="C21" s="324" t="s">
        <v>2838</v>
      </c>
      <c r="D21" s="324" t="s">
        <v>3304</v>
      </c>
      <c r="E21" s="324"/>
      <c r="F21" s="324"/>
      <c r="G21" s="324"/>
    </row>
    <row r="22" spans="1:7" ht="17" thickBot="1" x14ac:dyDescent="0.25"/>
    <row r="23" spans="1:7" x14ac:dyDescent="0.2">
      <c r="A23" s="180" t="s">
        <v>2859</v>
      </c>
      <c r="B23" s="100"/>
      <c r="C23" s="100"/>
      <c r="D23" s="100"/>
      <c r="E23" s="100"/>
      <c r="F23" s="100"/>
      <c r="G23" s="19"/>
    </row>
    <row r="24" spans="1:7" x14ac:dyDescent="0.2">
      <c r="A24" s="106" t="s">
        <v>2858</v>
      </c>
      <c r="G24" s="107"/>
    </row>
    <row r="25" spans="1:7" x14ac:dyDescent="0.2">
      <c r="A25" s="106" t="s">
        <v>2860</v>
      </c>
      <c r="G25" s="107"/>
    </row>
    <row r="26" spans="1:7" x14ac:dyDescent="0.2">
      <c r="A26" s="106" t="s">
        <v>2861</v>
      </c>
      <c r="G26" s="107"/>
    </row>
    <row r="27" spans="1:7" x14ac:dyDescent="0.2">
      <c r="A27" s="106" t="s">
        <v>2862</v>
      </c>
      <c r="G27" s="107"/>
    </row>
    <row r="28" spans="1:7" x14ac:dyDescent="0.2">
      <c r="A28" s="106" t="s">
        <v>2863</v>
      </c>
      <c r="G28" s="107"/>
    </row>
    <row r="29" spans="1:7" x14ac:dyDescent="0.2">
      <c r="A29" s="106" t="s">
        <v>2864</v>
      </c>
      <c r="G29" s="107"/>
    </row>
    <row r="30" spans="1:7" x14ac:dyDescent="0.2">
      <c r="A30" s="106" t="s">
        <v>2865</v>
      </c>
      <c r="G30" s="107"/>
    </row>
    <row r="31" spans="1:7" x14ac:dyDescent="0.2">
      <c r="A31" s="106" t="s">
        <v>2866</v>
      </c>
      <c r="G31" s="107"/>
    </row>
    <row r="32" spans="1:7" x14ac:dyDescent="0.2">
      <c r="A32" s="106" t="s">
        <v>2867</v>
      </c>
      <c r="G32" s="107"/>
    </row>
    <row r="33" spans="1:7" ht="17" thickBot="1" x14ac:dyDescent="0.25">
      <c r="A33" s="20" t="s">
        <v>2868</v>
      </c>
      <c r="B33" s="103"/>
      <c r="C33" s="103"/>
      <c r="D33" s="103"/>
      <c r="E33" s="103"/>
      <c r="F33" s="103"/>
      <c r="G33" s="21"/>
    </row>
  </sheetData>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B1B1D2-57C1-824E-9723-9267DB46162E}">
  <dimension ref="A1:P295"/>
  <sheetViews>
    <sheetView rightToLeft="1" zoomScale="182" workbookViewId="0">
      <selection activeCell="A2" sqref="A2"/>
    </sheetView>
  </sheetViews>
  <sheetFormatPr baseColWidth="10" defaultRowHeight="16" x14ac:dyDescent="0.2"/>
  <cols>
    <col min="1" max="1" width="24.1640625" style="87" customWidth="1"/>
    <col min="2" max="16384" width="10.83203125" style="87"/>
  </cols>
  <sheetData>
    <row r="1" spans="1:8" x14ac:dyDescent="0.2">
      <c r="A1" s="628" t="s">
        <v>2232</v>
      </c>
      <c r="B1" s="628"/>
      <c r="C1" s="628"/>
      <c r="D1" s="628"/>
      <c r="E1" s="628"/>
      <c r="F1" s="628"/>
      <c r="G1" s="628"/>
      <c r="H1" s="628"/>
    </row>
    <row r="2" spans="1:8" ht="17" thickBot="1" x14ac:dyDescent="0.25"/>
    <row r="3" spans="1:8" x14ac:dyDescent="0.2">
      <c r="A3" s="196" t="s">
        <v>1297</v>
      </c>
      <c r="B3" s="197"/>
      <c r="C3" s="197"/>
      <c r="D3" s="197"/>
      <c r="E3" s="197"/>
      <c r="F3" s="197"/>
      <c r="G3" s="197"/>
      <c r="H3" s="198"/>
    </row>
    <row r="4" spans="1:8" x14ac:dyDescent="0.2">
      <c r="A4" s="199" t="s">
        <v>1298</v>
      </c>
      <c r="H4" s="200"/>
    </row>
    <row r="5" spans="1:8" x14ac:dyDescent="0.2">
      <c r="A5" s="199" t="s">
        <v>1299</v>
      </c>
      <c r="H5" s="200"/>
    </row>
    <row r="6" spans="1:8" x14ac:dyDescent="0.2">
      <c r="A6" s="199"/>
      <c r="H6" s="200"/>
    </row>
    <row r="7" spans="1:8" ht="17" thickBot="1" x14ac:dyDescent="0.25">
      <c r="A7" s="201" t="s">
        <v>1300</v>
      </c>
      <c r="B7" s="202"/>
      <c r="C7" s="202"/>
      <c r="D7" s="202"/>
      <c r="E7" s="202"/>
      <c r="F7" s="202"/>
      <c r="G7" s="202"/>
      <c r="H7" s="203"/>
    </row>
    <row r="8" spans="1:8" ht="17" thickBot="1" x14ac:dyDescent="0.25"/>
    <row r="9" spans="1:8" x14ac:dyDescent="0.2">
      <c r="A9" s="196" t="s">
        <v>1292</v>
      </c>
      <c r="B9" s="197"/>
      <c r="C9" s="197"/>
      <c r="D9" s="197"/>
      <c r="E9" s="197"/>
      <c r="F9" s="197"/>
      <c r="G9" s="197"/>
      <c r="H9" s="198"/>
    </row>
    <row r="10" spans="1:8" x14ac:dyDescent="0.2">
      <c r="A10" s="199" t="s">
        <v>1293</v>
      </c>
      <c r="H10" s="200"/>
    </row>
    <row r="11" spans="1:8" x14ac:dyDescent="0.2">
      <c r="A11" s="199" t="s">
        <v>1294</v>
      </c>
      <c r="H11" s="200"/>
    </row>
    <row r="12" spans="1:8" x14ac:dyDescent="0.2">
      <c r="A12" s="199" t="s">
        <v>1295</v>
      </c>
      <c r="H12" s="200"/>
    </row>
    <row r="13" spans="1:8" ht="17" thickBot="1" x14ac:dyDescent="0.25">
      <c r="A13" s="201" t="s">
        <v>1296</v>
      </c>
      <c r="B13" s="202"/>
      <c r="C13" s="202"/>
      <c r="D13" s="202"/>
      <c r="E13" s="202"/>
      <c r="F13" s="202"/>
      <c r="G13" s="202"/>
      <c r="H13" s="203"/>
    </row>
    <row r="15" spans="1:8" x14ac:dyDescent="0.2">
      <c r="A15" s="87" t="s">
        <v>1259</v>
      </c>
    </row>
    <row r="16" spans="1:8" x14ac:dyDescent="0.2">
      <c r="A16" s="87" t="s">
        <v>1260</v>
      </c>
    </row>
    <row r="17" spans="1:9" x14ac:dyDescent="0.2">
      <c r="A17" s="87" t="s">
        <v>974</v>
      </c>
      <c r="I17"/>
    </row>
    <row r="19" spans="1:9" x14ac:dyDescent="0.2">
      <c r="A19" s="192" t="s">
        <v>14</v>
      </c>
      <c r="B19" s="192" t="s">
        <v>114</v>
      </c>
      <c r="C19" s="192" t="s">
        <v>11</v>
      </c>
      <c r="D19" s="192" t="s">
        <v>12</v>
      </c>
      <c r="E19" s="192" t="s">
        <v>131</v>
      </c>
      <c r="F19" s="192" t="s">
        <v>9</v>
      </c>
      <c r="G19" s="192" t="s">
        <v>10</v>
      </c>
    </row>
    <row r="20" spans="1:9" x14ac:dyDescent="0.2">
      <c r="A20" s="87" t="s">
        <v>1262</v>
      </c>
      <c r="B20" s="87">
        <v>200</v>
      </c>
      <c r="C20" s="87">
        <f>B20</f>
        <v>200</v>
      </c>
    </row>
    <row r="21" spans="1:9" x14ac:dyDescent="0.2">
      <c r="A21" s="87" t="s">
        <v>1261</v>
      </c>
      <c r="B21" s="87">
        <v>72</v>
      </c>
      <c r="G21" s="87">
        <f>B21</f>
        <v>72</v>
      </c>
    </row>
    <row r="22" spans="1:9" x14ac:dyDescent="0.2">
      <c r="A22" s="87" t="s">
        <v>19</v>
      </c>
      <c r="B22" s="87">
        <v>400</v>
      </c>
      <c r="C22" s="87">
        <f>B22</f>
        <v>400</v>
      </c>
    </row>
    <row r="23" spans="1:9" x14ac:dyDescent="0.2">
      <c r="A23" s="87" t="s">
        <v>17</v>
      </c>
      <c r="B23" s="87">
        <v>150</v>
      </c>
      <c r="C23" s="87">
        <f>B23</f>
        <v>150</v>
      </c>
    </row>
    <row r="24" spans="1:9" x14ac:dyDescent="0.2">
      <c r="A24" s="87" t="s">
        <v>75</v>
      </c>
      <c r="B24" s="87">
        <v>500</v>
      </c>
      <c r="F24" s="87">
        <f>B24</f>
        <v>500</v>
      </c>
    </row>
    <row r="25" spans="1:9" ht="17" x14ac:dyDescent="0.2">
      <c r="A25" s="193" t="s">
        <v>1168</v>
      </c>
      <c r="B25" s="87">
        <v>100</v>
      </c>
      <c r="C25" s="87">
        <f>B25</f>
        <v>100</v>
      </c>
    </row>
    <row r="26" spans="1:9" x14ac:dyDescent="0.2">
      <c r="A26" s="87" t="s">
        <v>21</v>
      </c>
      <c r="B26" s="87">
        <v>50</v>
      </c>
      <c r="D26" s="87">
        <f>B26</f>
        <v>50</v>
      </c>
    </row>
    <row r="27" spans="1:9" ht="17" customHeight="1" x14ac:dyDescent="0.2">
      <c r="A27" s="193" t="s">
        <v>1301</v>
      </c>
      <c r="B27" s="87" t="s">
        <v>31</v>
      </c>
      <c r="D27" s="135">
        <f>5*2</f>
        <v>10</v>
      </c>
    </row>
    <row r="28" spans="1:9" ht="17" x14ac:dyDescent="0.2">
      <c r="A28" s="193" t="s">
        <v>27</v>
      </c>
      <c r="B28" s="87">
        <v>70</v>
      </c>
      <c r="D28" s="87">
        <f>B28</f>
        <v>70</v>
      </c>
    </row>
    <row r="29" spans="1:9" x14ac:dyDescent="0.2">
      <c r="A29" s="87" t="s">
        <v>29</v>
      </c>
      <c r="B29" s="87">
        <v>80</v>
      </c>
      <c r="E29" s="87">
        <f>B29</f>
        <v>80</v>
      </c>
    </row>
    <row r="30" spans="1:9" x14ac:dyDescent="0.2">
      <c r="A30" s="87" t="s">
        <v>268</v>
      </c>
      <c r="B30" s="87">
        <v>150</v>
      </c>
      <c r="G30" s="87">
        <f>B30</f>
        <v>150</v>
      </c>
    </row>
    <row r="31" spans="1:9" x14ac:dyDescent="0.2">
      <c r="A31" s="87" t="s">
        <v>1302</v>
      </c>
      <c r="B31" s="87">
        <v>90</v>
      </c>
      <c r="G31" s="87">
        <f>B31</f>
        <v>90</v>
      </c>
    </row>
    <row r="32" spans="1:9" x14ac:dyDescent="0.2">
      <c r="A32" s="87" t="s">
        <v>1321</v>
      </c>
      <c r="B32" s="87" t="s">
        <v>31</v>
      </c>
      <c r="E32" s="212">
        <f>C51-D51-(F51-G51)-E29</f>
        <v>2048.333333333333</v>
      </c>
    </row>
    <row r="33" spans="1:7" ht="17" x14ac:dyDescent="0.2">
      <c r="A33" s="193" t="s">
        <v>1265</v>
      </c>
      <c r="B33" s="87">
        <v>400</v>
      </c>
      <c r="C33" s="87">
        <f>B33</f>
        <v>400</v>
      </c>
    </row>
    <row r="34" spans="1:7" ht="17" x14ac:dyDescent="0.2">
      <c r="A34" s="193" t="s">
        <v>1266</v>
      </c>
      <c r="B34" s="87" t="s">
        <v>31</v>
      </c>
      <c r="C34" s="207">
        <f>-F111</f>
        <v>-26.666666666666668</v>
      </c>
    </row>
    <row r="35" spans="1:7" ht="17" x14ac:dyDescent="0.2">
      <c r="A35" s="193" t="s">
        <v>107</v>
      </c>
      <c r="B35" s="87">
        <v>20</v>
      </c>
      <c r="G35" s="87">
        <f>-B35</f>
        <v>-20</v>
      </c>
    </row>
    <row r="36" spans="1:7" ht="17" x14ac:dyDescent="0.2">
      <c r="A36" s="193" t="s">
        <v>116</v>
      </c>
      <c r="B36" s="87">
        <v>12</v>
      </c>
      <c r="F36" s="87">
        <f>B36</f>
        <v>12</v>
      </c>
    </row>
    <row r="37" spans="1:7" ht="17" x14ac:dyDescent="0.2">
      <c r="A37" s="193" t="s">
        <v>1270</v>
      </c>
      <c r="B37" s="87">
        <v>700</v>
      </c>
      <c r="C37" s="87">
        <f>B37</f>
        <v>700</v>
      </c>
    </row>
    <row r="38" spans="1:7" ht="17" x14ac:dyDescent="0.2">
      <c r="A38" s="193" t="s">
        <v>1177</v>
      </c>
      <c r="B38" s="87">
        <v>40</v>
      </c>
      <c r="C38" s="87">
        <f>B38</f>
        <v>40</v>
      </c>
    </row>
    <row r="39" spans="1:7" x14ac:dyDescent="0.2">
      <c r="A39" s="87" t="s">
        <v>25</v>
      </c>
      <c r="B39" s="87">
        <v>200</v>
      </c>
      <c r="C39" s="87">
        <f>B39</f>
        <v>200</v>
      </c>
    </row>
    <row r="40" spans="1:7" ht="17" x14ac:dyDescent="0.2">
      <c r="A40" s="193" t="s">
        <v>267</v>
      </c>
      <c r="B40" s="87">
        <v>80</v>
      </c>
      <c r="G40" s="87">
        <f>B40</f>
        <v>80</v>
      </c>
    </row>
    <row r="41" spans="1:7" ht="17" x14ac:dyDescent="0.2">
      <c r="A41" s="193" t="s">
        <v>1274</v>
      </c>
      <c r="B41" s="87">
        <v>30</v>
      </c>
      <c r="F41" s="87">
        <f>B41</f>
        <v>30</v>
      </c>
    </row>
    <row r="42" spans="1:7" ht="17" x14ac:dyDescent="0.2">
      <c r="A42" s="193" t="s">
        <v>1275</v>
      </c>
      <c r="B42" s="87">
        <v>22</v>
      </c>
      <c r="G42" s="87">
        <f>B42</f>
        <v>22</v>
      </c>
    </row>
    <row r="43" spans="1:7" ht="17" x14ac:dyDescent="0.2">
      <c r="A43" s="193" t="s">
        <v>1276</v>
      </c>
      <c r="B43" s="87">
        <v>40</v>
      </c>
      <c r="G43" s="87">
        <f>B43</f>
        <v>40</v>
      </c>
    </row>
    <row r="44" spans="1:7" ht="17" x14ac:dyDescent="0.2">
      <c r="A44" s="193" t="s">
        <v>1277</v>
      </c>
      <c r="B44" s="87">
        <v>50</v>
      </c>
      <c r="G44" s="87">
        <f>B44</f>
        <v>50</v>
      </c>
    </row>
    <row r="45" spans="1:7" ht="17" x14ac:dyDescent="0.2">
      <c r="A45" s="193" t="s">
        <v>269</v>
      </c>
      <c r="B45" s="87">
        <v>70</v>
      </c>
      <c r="G45" s="87">
        <f>B45</f>
        <v>70</v>
      </c>
    </row>
    <row r="46" spans="1:7" ht="17" x14ac:dyDescent="0.2">
      <c r="A46" s="193" t="s">
        <v>1278</v>
      </c>
      <c r="B46" s="87">
        <v>14</v>
      </c>
      <c r="G46" s="87">
        <f>B46</f>
        <v>14</v>
      </c>
    </row>
    <row r="47" spans="1:7" ht="17" x14ac:dyDescent="0.2">
      <c r="A47" s="193" t="s">
        <v>123</v>
      </c>
      <c r="B47" s="87">
        <v>30</v>
      </c>
      <c r="F47" s="87">
        <f>-B47</f>
        <v>-30</v>
      </c>
    </row>
    <row r="48" spans="1:7" ht="17" x14ac:dyDescent="0.2">
      <c r="A48" s="193" t="s">
        <v>1216</v>
      </c>
      <c r="B48" s="87">
        <v>39</v>
      </c>
      <c r="F48" s="87">
        <f>-B48</f>
        <v>-39</v>
      </c>
    </row>
    <row r="49" spans="1:7" ht="17" x14ac:dyDescent="0.2">
      <c r="A49" s="193" t="s">
        <v>1279</v>
      </c>
      <c r="B49" s="87" t="s">
        <v>31</v>
      </c>
      <c r="C49" s="135">
        <v>40</v>
      </c>
    </row>
    <row r="50" spans="1:7" ht="18" thickBot="1" x14ac:dyDescent="0.25">
      <c r="A50" s="193" t="s">
        <v>1280</v>
      </c>
      <c r="B50" s="87" t="s">
        <v>31</v>
      </c>
      <c r="G50" s="135">
        <v>-40</v>
      </c>
    </row>
    <row r="51" spans="1:7" ht="18" thickBot="1" x14ac:dyDescent="0.25">
      <c r="A51" s="193" t="s">
        <v>281</v>
      </c>
      <c r="B51" s="194"/>
      <c r="C51" s="210">
        <f>SUM(C20:C50)</f>
        <v>2203.333333333333</v>
      </c>
      <c r="D51" s="195">
        <f>SUM(D20:D50)</f>
        <v>130</v>
      </c>
      <c r="E51" s="210">
        <f>SUM(E20:E50)</f>
        <v>2128.333333333333</v>
      </c>
      <c r="F51" s="195">
        <f>SUM(F20:F50)</f>
        <v>473</v>
      </c>
      <c r="G51" s="195">
        <f>SUM(G20:G50)</f>
        <v>528</v>
      </c>
    </row>
    <row r="53" spans="1:7" ht="17" x14ac:dyDescent="0.2">
      <c r="A53" s="193" t="s">
        <v>998</v>
      </c>
    </row>
    <row r="54" spans="1:7" x14ac:dyDescent="0.2">
      <c r="A54" s="87" t="s">
        <v>1310</v>
      </c>
    </row>
    <row r="55" spans="1:7" x14ac:dyDescent="0.2">
      <c r="A55" s="87" t="s">
        <v>1264</v>
      </c>
    </row>
    <row r="56" spans="1:7" x14ac:dyDescent="0.2">
      <c r="A56" s="87" t="s">
        <v>1263</v>
      </c>
    </row>
    <row r="58" spans="1:7" x14ac:dyDescent="0.2">
      <c r="A58" s="87" t="s">
        <v>1267</v>
      </c>
    </row>
    <row r="59" spans="1:7" x14ac:dyDescent="0.2">
      <c r="A59" s="87" t="s">
        <v>1268</v>
      </c>
    </row>
    <row r="60" spans="1:7" x14ac:dyDescent="0.2">
      <c r="A60" s="87" t="s">
        <v>1269</v>
      </c>
    </row>
    <row r="62" spans="1:7" x14ac:dyDescent="0.2">
      <c r="A62" s="87" t="s">
        <v>1271</v>
      </c>
    </row>
    <row r="63" spans="1:7" x14ac:dyDescent="0.2">
      <c r="A63" s="87" t="s">
        <v>1272</v>
      </c>
    </row>
    <row r="64" spans="1:7" x14ac:dyDescent="0.2">
      <c r="A64" s="87" t="s">
        <v>1273</v>
      </c>
    </row>
    <row r="66" spans="1:8" x14ac:dyDescent="0.2">
      <c r="A66" s="87" t="s">
        <v>1281</v>
      </c>
    </row>
    <row r="67" spans="1:8" x14ac:dyDescent="0.2">
      <c r="A67" s="87" t="s">
        <v>1282</v>
      </c>
    </row>
    <row r="68" spans="1:8" x14ac:dyDescent="0.2">
      <c r="A68" s="87" t="s">
        <v>1443</v>
      </c>
    </row>
    <row r="70" spans="1:8" x14ac:dyDescent="0.2">
      <c r="A70" s="87" t="s">
        <v>1286</v>
      </c>
    </row>
    <row r="71" spans="1:8" x14ac:dyDescent="0.2">
      <c r="A71" s="87" t="s">
        <v>1283</v>
      </c>
    </row>
    <row r="72" spans="1:8" x14ac:dyDescent="0.2">
      <c r="A72" s="87" t="s">
        <v>1284</v>
      </c>
    </row>
    <row r="73" spans="1:8" x14ac:dyDescent="0.2">
      <c r="A73" s="87" t="s">
        <v>1285</v>
      </c>
    </row>
    <row r="74" spans="1:8" ht="17" thickBot="1" x14ac:dyDescent="0.25"/>
    <row r="75" spans="1:8" x14ac:dyDescent="0.2">
      <c r="A75" s="196" t="s">
        <v>204</v>
      </c>
      <c r="B75" s="197"/>
      <c r="C75" s="197"/>
      <c r="D75" s="197"/>
      <c r="E75" s="197"/>
      <c r="F75" s="197"/>
      <c r="G75" s="197"/>
      <c r="H75" s="198"/>
    </row>
    <row r="76" spans="1:8" x14ac:dyDescent="0.2">
      <c r="A76" s="199" t="s">
        <v>1287</v>
      </c>
      <c r="H76" s="200"/>
    </row>
    <row r="77" spans="1:8" x14ac:dyDescent="0.2">
      <c r="A77" s="199" t="s">
        <v>1288</v>
      </c>
      <c r="H77" s="200"/>
    </row>
    <row r="78" spans="1:8" x14ac:dyDescent="0.2">
      <c r="A78" s="199" t="s">
        <v>1289</v>
      </c>
      <c r="H78" s="200"/>
    </row>
    <row r="79" spans="1:8" x14ac:dyDescent="0.2">
      <c r="A79" s="199" t="s">
        <v>1290</v>
      </c>
      <c r="H79" s="200"/>
    </row>
    <row r="80" spans="1:8" ht="17" thickBot="1" x14ac:dyDescent="0.25">
      <c r="A80" s="201" t="s">
        <v>1291</v>
      </c>
      <c r="B80" s="202"/>
      <c r="C80" s="202"/>
      <c r="D80" s="202"/>
      <c r="E80" s="202"/>
      <c r="F80" s="202"/>
      <c r="G80" s="202"/>
      <c r="H80" s="203"/>
    </row>
    <row r="82" spans="1:8" x14ac:dyDescent="0.2">
      <c r="A82" s="204" t="s">
        <v>1311</v>
      </c>
      <c r="B82" s="205"/>
      <c r="C82" s="205"/>
      <c r="D82" s="205"/>
      <c r="E82" s="205"/>
      <c r="F82" s="205"/>
      <c r="G82" s="205"/>
      <c r="H82" s="205"/>
    </row>
    <row r="84" spans="1:8" x14ac:dyDescent="0.2">
      <c r="A84" s="87" t="s">
        <v>1306</v>
      </c>
    </row>
    <row r="86" spans="1:8" x14ac:dyDescent="0.2">
      <c r="A86" s="87" t="s">
        <v>1307</v>
      </c>
    </row>
    <row r="87" spans="1:8" x14ac:dyDescent="0.2">
      <c r="B87" s="87" t="s">
        <v>1308</v>
      </c>
      <c r="C87" s="6" t="s">
        <v>523</v>
      </c>
    </row>
    <row r="88" spans="1:8" x14ac:dyDescent="0.2">
      <c r="B88" s="87" t="s">
        <v>1309</v>
      </c>
      <c r="C88" s="6" t="s">
        <v>469</v>
      </c>
    </row>
    <row r="90" spans="1:8" x14ac:dyDescent="0.2">
      <c r="A90" s="87" t="s">
        <v>1305</v>
      </c>
    </row>
    <row r="91" spans="1:8" x14ac:dyDescent="0.2">
      <c r="A91" s="87" t="s">
        <v>1303</v>
      </c>
    </row>
    <row r="92" spans="1:8" x14ac:dyDescent="0.2">
      <c r="A92" s="87" t="s">
        <v>1304</v>
      </c>
    </row>
    <row r="94" spans="1:8" x14ac:dyDescent="0.2">
      <c r="A94" s="204" t="s">
        <v>1312</v>
      </c>
      <c r="B94" s="205"/>
      <c r="C94" s="205"/>
      <c r="D94" s="205"/>
      <c r="E94" s="205"/>
      <c r="F94" s="205"/>
      <c r="G94" s="205"/>
      <c r="H94" s="205"/>
    </row>
    <row r="96" spans="1:8" x14ac:dyDescent="0.2">
      <c r="A96" s="87" t="s">
        <v>1313</v>
      </c>
      <c r="C96" s="87" t="s">
        <v>1314</v>
      </c>
    </row>
    <row r="97" spans="1:8" x14ac:dyDescent="0.2">
      <c r="C97" s="87" t="s">
        <v>1315</v>
      </c>
    </row>
    <row r="98" spans="1:8" x14ac:dyDescent="0.2">
      <c r="C98" s="87" t="s">
        <v>1316</v>
      </c>
    </row>
    <row r="99" spans="1:8" x14ac:dyDescent="0.2">
      <c r="C99" s="87" t="s">
        <v>1317</v>
      </c>
    </row>
    <row r="100" spans="1:8" x14ac:dyDescent="0.2">
      <c r="C100" s="87" t="s">
        <v>1318</v>
      </c>
    </row>
    <row r="101" spans="1:8" x14ac:dyDescent="0.2">
      <c r="C101" s="87" t="s">
        <v>1319</v>
      </c>
      <c r="E101" s="87">
        <v>10</v>
      </c>
      <c r="F101" s="87" t="s">
        <v>1320</v>
      </c>
    </row>
    <row r="103" spans="1:8" x14ac:dyDescent="0.2">
      <c r="A103" s="87" t="s">
        <v>1322</v>
      </c>
      <c r="C103" s="87" t="s">
        <v>1323</v>
      </c>
      <c r="H103" s="87">
        <v>400</v>
      </c>
    </row>
    <row r="104" spans="1:8" x14ac:dyDescent="0.2">
      <c r="C104" s="87" t="s">
        <v>1324</v>
      </c>
      <c r="H104" s="87">
        <v>5</v>
      </c>
    </row>
    <row r="105" spans="1:8" x14ac:dyDescent="0.2">
      <c r="C105" s="87" t="s">
        <v>1325</v>
      </c>
      <c r="H105" s="87" t="s">
        <v>1034</v>
      </c>
    </row>
    <row r="106" spans="1:8" x14ac:dyDescent="0.2">
      <c r="C106" s="87" t="s">
        <v>1326</v>
      </c>
      <c r="H106" s="87">
        <v>0</v>
      </c>
    </row>
    <row r="107" spans="1:8" x14ac:dyDescent="0.2">
      <c r="C107" s="87" t="s">
        <v>1328</v>
      </c>
      <c r="H107" s="87" t="s">
        <v>1327</v>
      </c>
    </row>
    <row r="109" spans="1:8" x14ac:dyDescent="0.2">
      <c r="C109" s="87" t="s">
        <v>1329</v>
      </c>
    </row>
    <row r="111" spans="1:8" x14ac:dyDescent="0.2">
      <c r="F111" s="206">
        <f>400/5*4/12</f>
        <v>26.666666666666668</v>
      </c>
      <c r="H111" s="54" t="s">
        <v>1330</v>
      </c>
    </row>
    <row r="113" spans="1:8" x14ac:dyDescent="0.2">
      <c r="C113" s="87" t="s">
        <v>1331</v>
      </c>
    </row>
    <row r="114" spans="1:8" x14ac:dyDescent="0.2">
      <c r="C114" s="87" t="s">
        <v>1332</v>
      </c>
    </row>
    <row r="115" spans="1:8" x14ac:dyDescent="0.2">
      <c r="C115" s="87" t="s">
        <v>1333</v>
      </c>
    </row>
    <row r="116" spans="1:8" x14ac:dyDescent="0.2">
      <c r="C116" s="87" t="s">
        <v>1334</v>
      </c>
    </row>
    <row r="118" spans="1:8" x14ac:dyDescent="0.2">
      <c r="A118" s="87" t="s">
        <v>1335</v>
      </c>
      <c r="C118" s="87" t="s">
        <v>1336</v>
      </c>
    </row>
    <row r="119" spans="1:8" x14ac:dyDescent="0.2">
      <c r="C119" s="87" t="s">
        <v>1337</v>
      </c>
    </row>
    <row r="120" spans="1:8" x14ac:dyDescent="0.2">
      <c r="C120" s="87" t="s">
        <v>1338</v>
      </c>
    </row>
    <row r="122" spans="1:8" x14ac:dyDescent="0.2">
      <c r="C122" s="87" t="s">
        <v>1339</v>
      </c>
      <c r="D122" s="87">
        <v>40</v>
      </c>
      <c r="F122" s="87" t="s">
        <v>1340</v>
      </c>
    </row>
    <row r="123" spans="1:8" x14ac:dyDescent="0.2">
      <c r="F123" s="87" t="s">
        <v>1341</v>
      </c>
      <c r="H123" s="87">
        <v>55</v>
      </c>
    </row>
    <row r="124" spans="1:8" x14ac:dyDescent="0.2">
      <c r="F124" s="87" t="s">
        <v>645</v>
      </c>
      <c r="H124" s="87">
        <f>-1-3</f>
        <v>-4</v>
      </c>
    </row>
    <row r="125" spans="1:8" ht="17" thickBot="1" x14ac:dyDescent="0.25">
      <c r="F125" s="87" t="s">
        <v>646</v>
      </c>
      <c r="H125" s="87">
        <f>-6</f>
        <v>-6</v>
      </c>
    </row>
    <row r="126" spans="1:8" ht="17" thickBot="1" x14ac:dyDescent="0.25">
      <c r="F126" s="87" t="s">
        <v>1340</v>
      </c>
      <c r="H126" s="208">
        <f>H123+H124+H125</f>
        <v>45</v>
      </c>
    </row>
    <row r="128" spans="1:8" x14ac:dyDescent="0.2">
      <c r="C128" s="87" t="s">
        <v>1342</v>
      </c>
    </row>
    <row r="129" spans="1:7" x14ac:dyDescent="0.2">
      <c r="C129" s="87" t="s">
        <v>1343</v>
      </c>
    </row>
    <row r="130" spans="1:7" x14ac:dyDescent="0.2">
      <c r="C130" s="87" t="s">
        <v>1344</v>
      </c>
    </row>
    <row r="131" spans="1:7" x14ac:dyDescent="0.2">
      <c r="C131" s="87" t="s">
        <v>1345</v>
      </c>
    </row>
    <row r="132" spans="1:7" x14ac:dyDescent="0.2">
      <c r="C132" s="87" t="s">
        <v>1346</v>
      </c>
    </row>
    <row r="133" spans="1:7" x14ac:dyDescent="0.2">
      <c r="C133" s="87" t="s">
        <v>1347</v>
      </c>
    </row>
    <row r="134" spans="1:7" x14ac:dyDescent="0.2">
      <c r="C134" s="87" t="s">
        <v>1348</v>
      </c>
    </row>
    <row r="136" spans="1:7" x14ac:dyDescent="0.2">
      <c r="C136" s="189" t="s">
        <v>1349</v>
      </c>
    </row>
    <row r="137" spans="1:7" x14ac:dyDescent="0.2">
      <c r="C137" s="87" t="s">
        <v>1350</v>
      </c>
    </row>
    <row r="139" spans="1:7" x14ac:dyDescent="0.2">
      <c r="C139" s="87" t="s">
        <v>1351</v>
      </c>
      <c r="E139" s="87">
        <f>D122</f>
        <v>40</v>
      </c>
    </row>
    <row r="140" spans="1:7" ht="17" thickBot="1" x14ac:dyDescent="0.25">
      <c r="C140" s="87" t="s">
        <v>1352</v>
      </c>
      <c r="E140" s="45">
        <v>1000</v>
      </c>
    </row>
    <row r="141" spans="1:7" ht="17" thickBot="1" x14ac:dyDescent="0.25">
      <c r="C141" s="87" t="s">
        <v>1353</v>
      </c>
      <c r="E141" s="209">
        <f>E139*E140</f>
        <v>40000</v>
      </c>
      <c r="G141" s="87" t="s">
        <v>1354</v>
      </c>
    </row>
    <row r="143" spans="1:7" x14ac:dyDescent="0.2">
      <c r="A143" s="189" t="s">
        <v>1355</v>
      </c>
      <c r="C143" s="87" t="s">
        <v>1356</v>
      </c>
    </row>
    <row r="145" spans="3:7" x14ac:dyDescent="0.2">
      <c r="C145" s="87" t="s">
        <v>11</v>
      </c>
      <c r="D145" s="87">
        <v>2203.3330000000001</v>
      </c>
    </row>
    <row r="146" spans="3:7" x14ac:dyDescent="0.2">
      <c r="C146" s="87" t="s">
        <v>12</v>
      </c>
      <c r="D146" s="87">
        <v>130</v>
      </c>
    </row>
    <row r="147" spans="3:7" x14ac:dyDescent="0.2">
      <c r="C147" s="87" t="s">
        <v>131</v>
      </c>
      <c r="D147" s="87" t="s">
        <v>1357</v>
      </c>
      <c r="E147" s="87" t="s">
        <v>1358</v>
      </c>
    </row>
    <row r="148" spans="3:7" x14ac:dyDescent="0.2">
      <c r="C148" s="87" t="s">
        <v>9</v>
      </c>
      <c r="D148" s="87">
        <v>473</v>
      </c>
    </row>
    <row r="149" spans="3:7" x14ac:dyDescent="0.2">
      <c r="C149" s="87" t="s">
        <v>10</v>
      </c>
      <c r="D149" s="87">
        <v>528</v>
      </c>
    </row>
    <row r="151" spans="3:7" x14ac:dyDescent="0.2">
      <c r="C151" s="87" t="s">
        <v>1359</v>
      </c>
    </row>
    <row r="153" spans="3:7" x14ac:dyDescent="0.2">
      <c r="C153" s="87" t="s">
        <v>1360</v>
      </c>
    </row>
    <row r="155" spans="3:7" x14ac:dyDescent="0.2">
      <c r="C155" s="87" t="s">
        <v>1361</v>
      </c>
    </row>
    <row r="157" spans="3:7" x14ac:dyDescent="0.2">
      <c r="F157" s="87" t="s">
        <v>1362</v>
      </c>
    </row>
    <row r="158" spans="3:7" x14ac:dyDescent="0.2">
      <c r="F158" s="211">
        <f>2203.333-130-80-(473-528)</f>
        <v>2048.3330000000001</v>
      </c>
      <c r="G158" s="87" t="s">
        <v>1075</v>
      </c>
    </row>
    <row r="161" spans="1:8" x14ac:dyDescent="0.2">
      <c r="A161" s="213" t="s">
        <v>1363</v>
      </c>
      <c r="B161" s="211"/>
      <c r="C161" s="211"/>
      <c r="D161" s="211"/>
      <c r="E161" s="211"/>
      <c r="F161" s="211"/>
      <c r="G161" s="211"/>
      <c r="H161" s="211"/>
    </row>
    <row r="162" spans="1:8" x14ac:dyDescent="0.2">
      <c r="A162" s="87" t="s">
        <v>1364</v>
      </c>
    </row>
    <row r="163" spans="1:8" ht="17" thickBot="1" x14ac:dyDescent="0.25"/>
    <row r="164" spans="1:8" x14ac:dyDescent="0.2">
      <c r="A164" s="196" t="s">
        <v>1310</v>
      </c>
      <c r="B164" s="197"/>
      <c r="C164" s="197"/>
      <c r="D164" s="197"/>
      <c r="E164" s="197"/>
      <c r="F164" s="197"/>
      <c r="G164" s="197"/>
      <c r="H164" s="198"/>
    </row>
    <row r="165" spans="1:8" x14ac:dyDescent="0.2">
      <c r="A165" s="223" t="s">
        <v>1264</v>
      </c>
      <c r="H165" s="200"/>
    </row>
    <row r="166" spans="1:8" ht="17" thickBot="1" x14ac:dyDescent="0.25">
      <c r="A166" s="224" t="s">
        <v>1263</v>
      </c>
      <c r="B166" s="202"/>
      <c r="C166" s="202"/>
      <c r="D166" s="202"/>
      <c r="E166" s="202"/>
      <c r="F166" s="202"/>
      <c r="G166" s="202"/>
      <c r="H166" s="203"/>
    </row>
    <row r="168" spans="1:8" x14ac:dyDescent="0.2">
      <c r="A168" s="87" t="s">
        <v>1365</v>
      </c>
    </row>
    <row r="170" spans="1:8" x14ac:dyDescent="0.2">
      <c r="A170" s="87" t="s">
        <v>1370</v>
      </c>
      <c r="B170" s="87" t="s">
        <v>1366</v>
      </c>
      <c r="D170" s="6" t="s">
        <v>1368</v>
      </c>
      <c r="E170" s="87" t="s">
        <v>1369</v>
      </c>
    </row>
    <row r="171" spans="1:8" x14ac:dyDescent="0.2">
      <c r="B171" s="87" t="s">
        <v>1367</v>
      </c>
      <c r="D171" s="6" t="s">
        <v>1368</v>
      </c>
      <c r="E171" s="87" t="s">
        <v>1385</v>
      </c>
    </row>
    <row r="173" spans="1:8" x14ac:dyDescent="0.2">
      <c r="A173" s="87" t="s">
        <v>1371</v>
      </c>
      <c r="B173" s="87" t="s">
        <v>1372</v>
      </c>
    </row>
    <row r="174" spans="1:8" x14ac:dyDescent="0.2">
      <c r="B174" s="87" t="s">
        <v>1373</v>
      </c>
    </row>
    <row r="175" spans="1:8" x14ac:dyDescent="0.2">
      <c r="B175" s="87" t="s">
        <v>1374</v>
      </c>
    </row>
    <row r="176" spans="1:8" x14ac:dyDescent="0.2">
      <c r="B176" s="87" t="s">
        <v>1375</v>
      </c>
    </row>
    <row r="177" spans="1:8" ht="17" thickBot="1" x14ac:dyDescent="0.25"/>
    <row r="178" spans="1:8" x14ac:dyDescent="0.2">
      <c r="B178" s="214" t="s">
        <v>1376</v>
      </c>
      <c r="C178" s="215"/>
      <c r="D178" s="216" t="s">
        <v>1368</v>
      </c>
      <c r="E178" s="215" t="s">
        <v>1377</v>
      </c>
      <c r="F178" s="215"/>
      <c r="G178" s="215"/>
      <c r="H178" s="217"/>
    </row>
    <row r="179" spans="1:8" ht="17" thickBot="1" x14ac:dyDescent="0.25">
      <c r="B179" s="218" t="s">
        <v>1378</v>
      </c>
      <c r="C179" s="219"/>
      <c r="D179" s="220" t="s">
        <v>1368</v>
      </c>
      <c r="E179" s="219" t="s">
        <v>1379</v>
      </c>
      <c r="F179" s="219"/>
      <c r="G179" s="219"/>
      <c r="H179" s="221"/>
    </row>
    <row r="181" spans="1:8" x14ac:dyDescent="0.2">
      <c r="B181" s="87" t="s">
        <v>1380</v>
      </c>
    </row>
    <row r="182" spans="1:8" x14ac:dyDescent="0.2">
      <c r="B182" s="87" t="s">
        <v>1381</v>
      </c>
    </row>
    <row r="183" spans="1:8" ht="17" thickBot="1" x14ac:dyDescent="0.25"/>
    <row r="184" spans="1:8" x14ac:dyDescent="0.2">
      <c r="A184" s="196" t="s">
        <v>1267</v>
      </c>
      <c r="B184" s="197"/>
      <c r="C184" s="197"/>
      <c r="D184" s="197"/>
      <c r="E184" s="197"/>
      <c r="F184" s="197"/>
      <c r="G184" s="197"/>
      <c r="H184" s="198"/>
    </row>
    <row r="185" spans="1:8" x14ac:dyDescent="0.2">
      <c r="A185" s="199" t="s">
        <v>1268</v>
      </c>
      <c r="H185" s="200"/>
    </row>
    <row r="186" spans="1:8" ht="17" thickBot="1" x14ac:dyDescent="0.25">
      <c r="A186" s="201" t="s">
        <v>1269</v>
      </c>
      <c r="B186" s="202"/>
      <c r="C186" s="202"/>
      <c r="D186" s="202"/>
      <c r="E186" s="202"/>
      <c r="F186" s="202"/>
      <c r="G186" s="202"/>
      <c r="H186" s="203"/>
    </row>
    <row r="188" spans="1:8" x14ac:dyDescent="0.2">
      <c r="B188" s="87" t="s">
        <v>1386</v>
      </c>
    </row>
    <row r="189" spans="1:8" x14ac:dyDescent="0.2">
      <c r="B189" s="87" t="s">
        <v>1387</v>
      </c>
    </row>
    <row r="191" spans="1:8" x14ac:dyDescent="0.2">
      <c r="B191" s="87" t="s">
        <v>1389</v>
      </c>
    </row>
    <row r="192" spans="1:8" x14ac:dyDescent="0.2">
      <c r="B192" s="87" t="s">
        <v>1390</v>
      </c>
    </row>
    <row r="193" spans="1:8" x14ac:dyDescent="0.2">
      <c r="E193" s="87">
        <v>80</v>
      </c>
      <c r="G193" s="87" t="s">
        <v>1388</v>
      </c>
    </row>
    <row r="194" spans="1:8" ht="17" thickBot="1" x14ac:dyDescent="0.25"/>
    <row r="195" spans="1:8" x14ac:dyDescent="0.2">
      <c r="A195" s="87" t="s">
        <v>1391</v>
      </c>
      <c r="B195" s="214" t="s">
        <v>1392</v>
      </c>
      <c r="C195" s="215"/>
      <c r="D195" s="215">
        <f>E193</f>
        <v>80</v>
      </c>
      <c r="E195" s="215" t="s">
        <v>1394</v>
      </c>
      <c r="F195" s="215"/>
      <c r="G195" s="215"/>
      <c r="H195" s="217"/>
    </row>
    <row r="196" spans="1:8" ht="17" thickBot="1" x14ac:dyDescent="0.25">
      <c r="B196" s="218" t="s">
        <v>1393</v>
      </c>
      <c r="C196" s="219"/>
      <c r="D196" s="219">
        <f>D195</f>
        <v>80</v>
      </c>
      <c r="E196" s="219" t="s">
        <v>1395</v>
      </c>
      <c r="F196" s="219"/>
      <c r="G196" s="219"/>
      <c r="H196" s="221"/>
    </row>
    <row r="198" spans="1:8" x14ac:dyDescent="0.2">
      <c r="B198" s="87" t="s">
        <v>1398</v>
      </c>
    </row>
    <row r="199" spans="1:8" x14ac:dyDescent="0.2">
      <c r="B199" s="87" t="s">
        <v>1399</v>
      </c>
    </row>
    <row r="200" spans="1:8" x14ac:dyDescent="0.2">
      <c r="B200" s="87" t="s">
        <v>1400</v>
      </c>
    </row>
    <row r="202" spans="1:8" x14ac:dyDescent="0.2">
      <c r="B202" s="87" t="s">
        <v>1401</v>
      </c>
      <c r="D202" s="6">
        <v>26.667000000000002</v>
      </c>
    </row>
    <row r="203" spans="1:8" ht="17" thickBot="1" x14ac:dyDescent="0.25">
      <c r="B203" s="87" t="s">
        <v>1402</v>
      </c>
      <c r="D203" s="6">
        <f>D196</f>
        <v>80</v>
      </c>
    </row>
    <row r="204" spans="1:8" ht="17" thickBot="1" x14ac:dyDescent="0.25">
      <c r="B204" s="87" t="s">
        <v>1403</v>
      </c>
      <c r="D204" s="17">
        <f>D202+D203</f>
        <v>106.667</v>
      </c>
      <c r="E204" s="87" t="s">
        <v>1404</v>
      </c>
      <c r="F204" s="87" t="s">
        <v>1405</v>
      </c>
    </row>
    <row r="205" spans="1:8" ht="17" thickBot="1" x14ac:dyDescent="0.25">
      <c r="D205" s="6"/>
    </row>
    <row r="206" spans="1:8" x14ac:dyDescent="0.2">
      <c r="A206" s="196" t="s">
        <v>1271</v>
      </c>
      <c r="B206" s="197"/>
      <c r="C206" s="197"/>
      <c r="D206" s="197"/>
      <c r="E206" s="197"/>
      <c r="F206" s="197"/>
      <c r="G206" s="197"/>
      <c r="H206" s="198"/>
    </row>
    <row r="207" spans="1:8" x14ac:dyDescent="0.2">
      <c r="A207" s="199" t="s">
        <v>1272</v>
      </c>
      <c r="H207" s="200"/>
    </row>
    <row r="208" spans="1:8" ht="17" thickBot="1" x14ac:dyDescent="0.25">
      <c r="A208" s="201" t="s">
        <v>1273</v>
      </c>
      <c r="B208" s="202"/>
      <c r="C208" s="202"/>
      <c r="D208" s="202"/>
      <c r="E208" s="202"/>
      <c r="F208" s="202"/>
      <c r="G208" s="202"/>
      <c r="H208" s="203"/>
    </row>
    <row r="209" spans="1:8" x14ac:dyDescent="0.2">
      <c r="D209" s="6"/>
    </row>
    <row r="210" spans="1:8" x14ac:dyDescent="0.2">
      <c r="B210" s="87" t="s">
        <v>1406</v>
      </c>
      <c r="D210" s="6"/>
      <c r="F210" s="87" t="s">
        <v>1407</v>
      </c>
    </row>
    <row r="211" spans="1:8" x14ac:dyDescent="0.2">
      <c r="D211" s="6"/>
    </row>
    <row r="212" spans="1:8" x14ac:dyDescent="0.2">
      <c r="B212" s="87" t="s">
        <v>1408</v>
      </c>
      <c r="D212" s="6"/>
    </row>
    <row r="213" spans="1:8" x14ac:dyDescent="0.2">
      <c r="D213" s="6"/>
    </row>
    <row r="214" spans="1:8" x14ac:dyDescent="0.2">
      <c r="B214" s="87" t="s">
        <v>1409</v>
      </c>
      <c r="D214" s="6"/>
    </row>
    <row r="215" spans="1:8" x14ac:dyDescent="0.2">
      <c r="D215" s="6"/>
    </row>
    <row r="216" spans="1:8" x14ac:dyDescent="0.2">
      <c r="B216" s="87" t="s">
        <v>1410</v>
      </c>
      <c r="D216" s="6"/>
      <c r="F216" s="206">
        <f>700/3*4/12</f>
        <v>77.777777777777786</v>
      </c>
      <c r="G216" s="87" t="s">
        <v>1411</v>
      </c>
    </row>
    <row r="217" spans="1:8" ht="17" thickBot="1" x14ac:dyDescent="0.25">
      <c r="D217" s="6"/>
    </row>
    <row r="218" spans="1:8" x14ac:dyDescent="0.2">
      <c r="A218" s="87" t="s">
        <v>1391</v>
      </c>
      <c r="B218" s="214" t="s">
        <v>1392</v>
      </c>
      <c r="C218" s="215"/>
      <c r="D218" s="228">
        <f>F216</f>
        <v>77.777777777777786</v>
      </c>
      <c r="E218" s="215" t="s">
        <v>1394</v>
      </c>
      <c r="F218" s="215"/>
      <c r="G218" s="215"/>
      <c r="H218" s="217"/>
    </row>
    <row r="219" spans="1:8" ht="17" thickBot="1" x14ac:dyDescent="0.25">
      <c r="B219" s="218" t="s">
        <v>1412</v>
      </c>
      <c r="C219" s="219"/>
      <c r="D219" s="229">
        <f>D218</f>
        <v>77.777777777777786</v>
      </c>
      <c r="E219" s="219" t="s">
        <v>1395</v>
      </c>
      <c r="F219" s="219"/>
      <c r="G219" s="219"/>
      <c r="H219" s="221"/>
    </row>
    <row r="220" spans="1:8" x14ac:dyDescent="0.2">
      <c r="D220" s="6"/>
    </row>
    <row r="221" spans="1:8" x14ac:dyDescent="0.2">
      <c r="B221" s="189" t="s">
        <v>1415</v>
      </c>
      <c r="D221" s="6"/>
    </row>
    <row r="222" spans="1:8" x14ac:dyDescent="0.2">
      <c r="B222" s="87" t="s">
        <v>1416</v>
      </c>
      <c r="D222" s="6"/>
    </row>
    <row r="223" spans="1:8" x14ac:dyDescent="0.2">
      <c r="B223" s="87" t="s">
        <v>1417</v>
      </c>
      <c r="D223" s="6"/>
    </row>
    <row r="224" spans="1:8" x14ac:dyDescent="0.2">
      <c r="B224" s="87" t="s">
        <v>1418</v>
      </c>
      <c r="D224" s="6">
        <v>7</v>
      </c>
      <c r="E224" s="87" t="s">
        <v>1024</v>
      </c>
    </row>
    <row r="225" spans="1:8" x14ac:dyDescent="0.2">
      <c r="D225" s="6"/>
    </row>
    <row r="226" spans="1:8" x14ac:dyDescent="0.2">
      <c r="B226" s="87" t="s">
        <v>1419</v>
      </c>
      <c r="D226" s="231">
        <f>7/3*4/12</f>
        <v>0.77777777777777779</v>
      </c>
      <c r="G226" s="87" t="s">
        <v>1420</v>
      </c>
    </row>
    <row r="227" spans="1:8" ht="17" thickBot="1" x14ac:dyDescent="0.25">
      <c r="D227" s="6"/>
    </row>
    <row r="228" spans="1:8" ht="17" thickBot="1" x14ac:dyDescent="0.25">
      <c r="B228" s="87" t="s">
        <v>1421</v>
      </c>
      <c r="D228" s="17">
        <f>7-0.778</f>
        <v>6.2219999999999995</v>
      </c>
      <c r="E228" s="87" t="s">
        <v>1422</v>
      </c>
    </row>
    <row r="229" spans="1:8" x14ac:dyDescent="0.2">
      <c r="D229" s="6"/>
    </row>
    <row r="230" spans="1:8" x14ac:dyDescent="0.2">
      <c r="A230" s="87" t="s">
        <v>1428</v>
      </c>
      <c r="B230" s="87" t="s">
        <v>1423</v>
      </c>
      <c r="D230" s="6">
        <f>D232+D231</f>
        <v>7.2219999999999995</v>
      </c>
      <c r="E230" s="87" t="s">
        <v>1427</v>
      </c>
    </row>
    <row r="231" spans="1:8" ht="17" thickBot="1" x14ac:dyDescent="0.25">
      <c r="B231" s="87" t="s">
        <v>1424</v>
      </c>
      <c r="D231" s="6">
        <f>D228</f>
        <v>6.2219999999999995</v>
      </c>
      <c r="E231" s="87" t="s">
        <v>1426</v>
      </c>
    </row>
    <row r="232" spans="1:8" ht="17" thickBot="1" x14ac:dyDescent="0.25">
      <c r="B232" s="87" t="s">
        <v>760</v>
      </c>
      <c r="D232" s="17">
        <v>1</v>
      </c>
      <c r="E232" s="87" t="s">
        <v>1425</v>
      </c>
    </row>
    <row r="233" spans="1:8" ht="17" thickBot="1" x14ac:dyDescent="0.25">
      <c r="D233" s="6"/>
    </row>
    <row r="234" spans="1:8" x14ac:dyDescent="0.2">
      <c r="A234" s="87" t="s">
        <v>1435</v>
      </c>
      <c r="B234" s="214" t="s">
        <v>1429</v>
      </c>
      <c r="C234" s="215"/>
      <c r="D234" s="216">
        <f>D230</f>
        <v>7.2219999999999995</v>
      </c>
      <c r="E234" s="215" t="s">
        <v>1430</v>
      </c>
      <c r="F234" s="215"/>
      <c r="G234" s="215"/>
      <c r="H234" s="217"/>
    </row>
    <row r="235" spans="1:8" x14ac:dyDescent="0.2">
      <c r="A235" s="87" t="s">
        <v>1436</v>
      </c>
      <c r="B235" s="232" t="s">
        <v>1431</v>
      </c>
      <c r="C235" s="225"/>
      <c r="D235" s="46">
        <v>7</v>
      </c>
      <c r="E235" s="225" t="s">
        <v>1432</v>
      </c>
      <c r="F235" s="225"/>
      <c r="G235" s="225"/>
      <c r="H235" s="233"/>
    </row>
    <row r="236" spans="1:8" x14ac:dyDescent="0.2">
      <c r="A236" s="87" t="s">
        <v>1437</v>
      </c>
      <c r="B236" s="232" t="s">
        <v>1433</v>
      </c>
      <c r="C236" s="225"/>
      <c r="D236" s="234">
        <f>D226</f>
        <v>0.77777777777777779</v>
      </c>
      <c r="E236" s="225" t="s">
        <v>1434</v>
      </c>
      <c r="F236" s="225"/>
      <c r="G236" s="225"/>
      <c r="H236" s="233"/>
    </row>
    <row r="237" spans="1:8" ht="17" thickBot="1" x14ac:dyDescent="0.25">
      <c r="A237" s="87" t="s">
        <v>1438</v>
      </c>
      <c r="B237" s="218" t="s">
        <v>1439</v>
      </c>
      <c r="C237" s="219"/>
      <c r="D237" s="220">
        <f>D232</f>
        <v>1</v>
      </c>
      <c r="E237" s="219" t="s">
        <v>1440</v>
      </c>
      <c r="F237" s="219"/>
      <c r="G237" s="219"/>
      <c r="H237" s="221"/>
    </row>
    <row r="238" spans="1:8" x14ac:dyDescent="0.2">
      <c r="B238" s="225"/>
      <c r="C238" s="225"/>
      <c r="D238" s="46"/>
      <c r="E238" s="225"/>
      <c r="F238" s="225"/>
      <c r="G238" s="225"/>
      <c r="H238" s="225"/>
    </row>
    <row r="239" spans="1:8" ht="17" thickBot="1" x14ac:dyDescent="0.25">
      <c r="D239" s="6"/>
    </row>
    <row r="240" spans="1:8" x14ac:dyDescent="0.2">
      <c r="A240" s="196" t="s">
        <v>1281</v>
      </c>
      <c r="B240" s="197"/>
      <c r="C240" s="197"/>
      <c r="D240" s="197"/>
      <c r="E240" s="197"/>
      <c r="F240" s="197"/>
      <c r="G240" s="197"/>
      <c r="H240" s="198"/>
    </row>
    <row r="241" spans="1:10" x14ac:dyDescent="0.2">
      <c r="A241" s="199" t="s">
        <v>1282</v>
      </c>
      <c r="H241" s="200"/>
    </row>
    <row r="242" spans="1:10" ht="17" thickBot="1" x14ac:dyDescent="0.25">
      <c r="A242" s="201" t="s">
        <v>1442</v>
      </c>
      <c r="B242" s="202"/>
      <c r="C242" s="202"/>
      <c r="D242" s="202"/>
      <c r="E242" s="202"/>
      <c r="F242" s="202"/>
      <c r="G242" s="202"/>
      <c r="H242" s="203"/>
    </row>
    <row r="243" spans="1:10" x14ac:dyDescent="0.2">
      <c r="D243" s="6"/>
    </row>
    <row r="244" spans="1:10" x14ac:dyDescent="0.2">
      <c r="B244" s="87" t="s">
        <v>1444</v>
      </c>
      <c r="D244" s="6"/>
    </row>
    <row r="245" spans="1:10" x14ac:dyDescent="0.2">
      <c r="B245" s="87" t="s">
        <v>1445</v>
      </c>
      <c r="D245" s="6"/>
    </row>
    <row r="246" spans="1:10" x14ac:dyDescent="0.2">
      <c r="D246" s="6"/>
    </row>
    <row r="247" spans="1:10" x14ac:dyDescent="0.2">
      <c r="B247" s="87" t="s">
        <v>1446</v>
      </c>
      <c r="D247" s="45">
        <v>50000</v>
      </c>
    </row>
    <row r="248" spans="1:10" x14ac:dyDescent="0.2">
      <c r="B248" s="87" t="s">
        <v>1450</v>
      </c>
      <c r="D248" s="45">
        <v>50000</v>
      </c>
    </row>
    <row r="249" spans="1:10" x14ac:dyDescent="0.2">
      <c r="D249" s="6"/>
    </row>
    <row r="250" spans="1:10" x14ac:dyDescent="0.2">
      <c r="B250" s="87" t="s">
        <v>1447</v>
      </c>
      <c r="D250" s="6"/>
    </row>
    <row r="251" spans="1:10" x14ac:dyDescent="0.2">
      <c r="B251" s="87" t="s">
        <v>1448</v>
      </c>
      <c r="D251" s="6"/>
    </row>
    <row r="252" spans="1:10" x14ac:dyDescent="0.2">
      <c r="D252" s="6"/>
    </row>
    <row r="253" spans="1:10" x14ac:dyDescent="0.2">
      <c r="D253" s="6"/>
    </row>
    <row r="255" spans="1:10" x14ac:dyDescent="0.2">
      <c r="A255" s="189" t="s">
        <v>1382</v>
      </c>
      <c r="J255" s="189" t="s">
        <v>1452</v>
      </c>
    </row>
    <row r="257" spans="1:14" x14ac:dyDescent="0.2">
      <c r="A257" s="192" t="s">
        <v>14</v>
      </c>
      <c r="B257" s="192" t="s">
        <v>1384</v>
      </c>
      <c r="C257" s="192" t="s">
        <v>11</v>
      </c>
      <c r="D257" s="192" t="s">
        <v>12</v>
      </c>
      <c r="E257" s="192" t="s">
        <v>131</v>
      </c>
      <c r="F257" s="192" t="s">
        <v>9</v>
      </c>
      <c r="G257" s="192" t="s">
        <v>10</v>
      </c>
      <c r="J257" s="236" t="s">
        <v>1453</v>
      </c>
    </row>
    <row r="258" spans="1:14" x14ac:dyDescent="0.2">
      <c r="A258" s="87" t="s">
        <v>1262</v>
      </c>
      <c r="B258" s="87">
        <v>200</v>
      </c>
      <c r="C258" s="87">
        <v>200</v>
      </c>
      <c r="J258" s="236"/>
    </row>
    <row r="259" spans="1:14" x14ac:dyDescent="0.2">
      <c r="A259" s="87" t="s">
        <v>1261</v>
      </c>
      <c r="B259" s="87">
        <v>72</v>
      </c>
      <c r="G259" s="168">
        <f>72-10</f>
        <v>62</v>
      </c>
      <c r="J259" s="87" t="s">
        <v>75</v>
      </c>
      <c r="L259" s="44">
        <f>F262+F285+F286</f>
        <v>431</v>
      </c>
    </row>
    <row r="260" spans="1:14" x14ac:dyDescent="0.2">
      <c r="A260" s="87" t="s">
        <v>19</v>
      </c>
      <c r="B260" s="87">
        <v>400</v>
      </c>
      <c r="C260" s="87">
        <v>400</v>
      </c>
      <c r="J260" s="87" t="s">
        <v>102</v>
      </c>
      <c r="L260" s="44">
        <f>-(G268+G273+G269+G288)</f>
        <v>-180</v>
      </c>
    </row>
    <row r="261" spans="1:14" x14ac:dyDescent="0.2">
      <c r="A261" s="87" t="s">
        <v>17</v>
      </c>
      <c r="B261" s="87">
        <v>150</v>
      </c>
      <c r="C261" s="168">
        <f>150+7.222</f>
        <v>157.22200000000001</v>
      </c>
      <c r="J261" s="87" t="s">
        <v>78</v>
      </c>
      <c r="L261" s="134">
        <f>L259+L260</f>
        <v>251</v>
      </c>
    </row>
    <row r="262" spans="1:14" x14ac:dyDescent="0.2">
      <c r="A262" s="87" t="s">
        <v>75</v>
      </c>
      <c r="B262" s="87">
        <v>500</v>
      </c>
      <c r="F262" s="87">
        <v>500</v>
      </c>
      <c r="J262" s="87" t="s">
        <v>1209</v>
      </c>
      <c r="L262" s="44">
        <f>-(G282+G280)</f>
        <v>-72</v>
      </c>
    </row>
    <row r="263" spans="1:14" ht="17" x14ac:dyDescent="0.2">
      <c r="A263" s="193" t="s">
        <v>1168</v>
      </c>
      <c r="B263" s="87">
        <v>100</v>
      </c>
      <c r="C263" s="87">
        <v>100</v>
      </c>
      <c r="J263" s="87" t="s">
        <v>1210</v>
      </c>
      <c r="L263" s="237">
        <f>-(G259+G281+G283+G284+G289+G290)</f>
        <v>-343.77777777777777</v>
      </c>
    </row>
    <row r="264" spans="1:14" x14ac:dyDescent="0.2">
      <c r="A264" s="87" t="s">
        <v>21</v>
      </c>
      <c r="B264" s="87">
        <v>50</v>
      </c>
      <c r="D264" s="87">
        <v>50</v>
      </c>
      <c r="J264" s="87" t="s">
        <v>1461</v>
      </c>
      <c r="L264" s="6">
        <f>F294+F292</f>
        <v>51</v>
      </c>
    </row>
    <row r="265" spans="1:14" ht="17" customHeight="1" x14ac:dyDescent="0.2">
      <c r="A265" s="193" t="s">
        <v>1383</v>
      </c>
      <c r="B265" s="87" t="s">
        <v>31</v>
      </c>
      <c r="D265" s="222">
        <v>0</v>
      </c>
      <c r="J265" s="87" t="s">
        <v>1252</v>
      </c>
      <c r="L265" s="238">
        <f>SUM(L261:L264)</f>
        <v>-113.77777777777777</v>
      </c>
    </row>
    <row r="266" spans="1:14" ht="17" x14ac:dyDescent="0.2">
      <c r="A266" s="193" t="s">
        <v>27</v>
      </c>
      <c r="B266" s="87">
        <v>70</v>
      </c>
      <c r="D266" s="87">
        <v>70</v>
      </c>
      <c r="J266" s="87" t="s">
        <v>1212</v>
      </c>
      <c r="L266" s="44">
        <f>-(G278)</f>
        <v>-80</v>
      </c>
    </row>
    <row r="267" spans="1:14" x14ac:dyDescent="0.2">
      <c r="A267" s="87" t="s">
        <v>29</v>
      </c>
      <c r="B267" s="87">
        <v>80</v>
      </c>
      <c r="E267" s="87">
        <v>80</v>
      </c>
      <c r="J267" s="87" t="s">
        <v>1213</v>
      </c>
      <c r="L267" s="44">
        <f>F274+F279</f>
        <v>42</v>
      </c>
    </row>
    <row r="268" spans="1:14" x14ac:dyDescent="0.2">
      <c r="A268" s="87" t="s">
        <v>268</v>
      </c>
      <c r="B268" s="87">
        <v>150</v>
      </c>
      <c r="G268" s="87">
        <v>150</v>
      </c>
      <c r="J268" s="87" t="s">
        <v>1253</v>
      </c>
      <c r="L268" s="238">
        <f>L265+L266+L267</f>
        <v>-151.77777777777777</v>
      </c>
    </row>
    <row r="269" spans="1:14" x14ac:dyDescent="0.2">
      <c r="A269" s="87" t="s">
        <v>1302</v>
      </c>
      <c r="B269" s="87">
        <v>90</v>
      </c>
      <c r="G269" s="87">
        <v>90</v>
      </c>
    </row>
    <row r="270" spans="1:14" x14ac:dyDescent="0.2">
      <c r="A270" s="87" t="s">
        <v>1321</v>
      </c>
      <c r="B270" s="87" t="s">
        <v>31</v>
      </c>
      <c r="E270" s="212">
        <v>2048.333333333333</v>
      </c>
      <c r="J270" s="236" t="s">
        <v>1454</v>
      </c>
    </row>
    <row r="271" spans="1:14" ht="17" x14ac:dyDescent="0.2">
      <c r="A271" s="193" t="s">
        <v>1265</v>
      </c>
      <c r="B271" s="87">
        <v>400</v>
      </c>
      <c r="C271" s="87">
        <v>400</v>
      </c>
    </row>
    <row r="272" spans="1:14" ht="17" customHeight="1" x14ac:dyDescent="0.2">
      <c r="A272" s="226" t="s">
        <v>1397</v>
      </c>
      <c r="B272" s="168" t="s">
        <v>31</v>
      </c>
      <c r="C272" s="227">
        <f>-26.6666666666667-D195</f>
        <v>-106.6666666666667</v>
      </c>
      <c r="J272" s="87" t="s">
        <v>11</v>
      </c>
      <c r="N272" s="87" t="s">
        <v>1066</v>
      </c>
    </row>
    <row r="273" spans="1:16" ht="17" x14ac:dyDescent="0.2">
      <c r="A273" s="193" t="s">
        <v>107</v>
      </c>
      <c r="B273" s="87">
        <v>20</v>
      </c>
      <c r="G273" s="87">
        <v>-20</v>
      </c>
    </row>
    <row r="274" spans="1:16" ht="17" x14ac:dyDescent="0.2">
      <c r="A274" s="193" t="s">
        <v>116</v>
      </c>
      <c r="B274" s="87">
        <v>12</v>
      </c>
      <c r="F274" s="87">
        <v>12</v>
      </c>
      <c r="J274" s="87" t="s">
        <v>1455</v>
      </c>
      <c r="N274" s="87" t="s">
        <v>1458</v>
      </c>
    </row>
    <row r="275" spans="1:16" ht="17" x14ac:dyDescent="0.2">
      <c r="A275" s="226" t="s">
        <v>1270</v>
      </c>
      <c r="B275" s="87">
        <v>700</v>
      </c>
      <c r="C275" s="168">
        <f>700-7</f>
        <v>693</v>
      </c>
      <c r="J275" s="87" t="s">
        <v>1460</v>
      </c>
      <c r="L275" s="87">
        <f>C258+C261</f>
        <v>357.22199999999998</v>
      </c>
      <c r="N275" s="87" t="s">
        <v>27</v>
      </c>
      <c r="P275" s="87">
        <f>D266</f>
        <v>70</v>
      </c>
    </row>
    <row r="276" spans="1:16" ht="18" thickBot="1" x14ac:dyDescent="0.25">
      <c r="A276" s="193" t="s">
        <v>1177</v>
      </c>
      <c r="B276" s="87">
        <v>40</v>
      </c>
      <c r="C276" s="87">
        <v>40</v>
      </c>
      <c r="J276" s="87" t="s">
        <v>19</v>
      </c>
      <c r="L276" s="87">
        <f>C260</f>
        <v>400</v>
      </c>
      <c r="N276" s="87" t="s">
        <v>21</v>
      </c>
      <c r="P276" s="87">
        <f>D264</f>
        <v>50</v>
      </c>
    </row>
    <row r="277" spans="1:16" ht="17" thickBot="1" x14ac:dyDescent="0.25">
      <c r="A277" s="87" t="s">
        <v>25</v>
      </c>
      <c r="B277" s="87">
        <v>200</v>
      </c>
      <c r="C277" s="87">
        <v>200</v>
      </c>
      <c r="J277" s="87" t="s">
        <v>1465</v>
      </c>
      <c r="L277" s="87">
        <f>C293</f>
        <v>50</v>
      </c>
      <c r="N277" s="87" t="s">
        <v>1466</v>
      </c>
      <c r="P277" s="208">
        <f>P275+P276</f>
        <v>120</v>
      </c>
    </row>
    <row r="278" spans="1:16" ht="17" x14ac:dyDescent="0.2">
      <c r="A278" s="193" t="s">
        <v>267</v>
      </c>
      <c r="B278" s="87">
        <v>80</v>
      </c>
      <c r="G278" s="87">
        <v>80</v>
      </c>
      <c r="J278" s="87" t="s">
        <v>68</v>
      </c>
      <c r="L278" s="87">
        <f>C287</f>
        <v>40</v>
      </c>
    </row>
    <row r="279" spans="1:16" ht="18" thickBot="1" x14ac:dyDescent="0.25">
      <c r="A279" s="193" t="s">
        <v>1274</v>
      </c>
      <c r="B279" s="87">
        <v>30</v>
      </c>
      <c r="F279" s="87">
        <v>30</v>
      </c>
      <c r="J279" s="87" t="s">
        <v>1168</v>
      </c>
      <c r="L279" s="87">
        <f>C263</f>
        <v>100</v>
      </c>
    </row>
    <row r="280" spans="1:16" ht="18" thickBot="1" x14ac:dyDescent="0.25">
      <c r="A280" s="193" t="s">
        <v>1275</v>
      </c>
      <c r="B280" s="87">
        <v>22</v>
      </c>
      <c r="G280" s="87">
        <v>22</v>
      </c>
      <c r="J280" s="87" t="s">
        <v>1463</v>
      </c>
      <c r="L280" s="208">
        <f>SUM(L275:L279)</f>
        <v>947.22199999999998</v>
      </c>
    </row>
    <row r="281" spans="1:16" ht="17" x14ac:dyDescent="0.2">
      <c r="A281" s="193" t="s">
        <v>1276</v>
      </c>
      <c r="B281" s="87">
        <v>40</v>
      </c>
      <c r="G281" s="87">
        <v>40</v>
      </c>
    </row>
    <row r="282" spans="1:16" ht="17" x14ac:dyDescent="0.2">
      <c r="A282" s="193" t="s">
        <v>1277</v>
      </c>
      <c r="B282" s="87">
        <v>50</v>
      </c>
      <c r="G282" s="87">
        <v>50</v>
      </c>
      <c r="J282" s="87" t="s">
        <v>1456</v>
      </c>
      <c r="N282" s="87" t="s">
        <v>131</v>
      </c>
    </row>
    <row r="283" spans="1:16" ht="17" x14ac:dyDescent="0.2">
      <c r="A283" s="193" t="s">
        <v>269</v>
      </c>
      <c r="B283" s="87">
        <v>70</v>
      </c>
      <c r="G283" s="87">
        <v>70</v>
      </c>
      <c r="J283" s="87" t="s">
        <v>22</v>
      </c>
      <c r="L283" s="206">
        <f>C271+C272+C275+C291</f>
        <v>909.33333333333326</v>
      </c>
      <c r="N283" s="87" t="s">
        <v>29</v>
      </c>
      <c r="P283" s="87">
        <f>E267</f>
        <v>80</v>
      </c>
    </row>
    <row r="284" spans="1:16" ht="18" thickBot="1" x14ac:dyDescent="0.25">
      <c r="A284" s="193" t="s">
        <v>1278</v>
      </c>
      <c r="B284" s="87">
        <v>14</v>
      </c>
      <c r="G284" s="87">
        <v>14</v>
      </c>
      <c r="J284" s="87" t="s">
        <v>1177</v>
      </c>
      <c r="L284" s="87">
        <f>C276</f>
        <v>40</v>
      </c>
      <c r="N284" s="87" t="s">
        <v>1188</v>
      </c>
      <c r="P284" s="206">
        <f>E270+L268</f>
        <v>1896.5555555555552</v>
      </c>
    </row>
    <row r="285" spans="1:16" ht="18" thickBot="1" x14ac:dyDescent="0.25">
      <c r="A285" s="193" t="s">
        <v>123</v>
      </c>
      <c r="B285" s="87">
        <v>30</v>
      </c>
      <c r="F285" s="87">
        <v>-30</v>
      </c>
      <c r="J285" s="87" t="s">
        <v>1462</v>
      </c>
      <c r="L285" s="87">
        <f>C277</f>
        <v>200</v>
      </c>
      <c r="N285" s="87" t="s">
        <v>1194</v>
      </c>
      <c r="P285" s="239">
        <f>P283+P284</f>
        <v>1976.5555555555552</v>
      </c>
    </row>
    <row r="286" spans="1:16" ht="18" thickBot="1" x14ac:dyDescent="0.25">
      <c r="A286" s="193" t="s">
        <v>1216</v>
      </c>
      <c r="B286" s="87">
        <v>39</v>
      </c>
      <c r="F286" s="87">
        <v>-39</v>
      </c>
      <c r="J286" s="87" t="s">
        <v>1464</v>
      </c>
      <c r="L286" s="239">
        <f>SUM(L283:L285)</f>
        <v>1149.3333333333333</v>
      </c>
    </row>
    <row r="287" spans="1:16" ht="17" x14ac:dyDescent="0.2">
      <c r="A287" s="193" t="s">
        <v>1279</v>
      </c>
      <c r="B287" s="87" t="s">
        <v>31</v>
      </c>
      <c r="C287" s="135">
        <v>40</v>
      </c>
    </row>
    <row r="288" spans="1:16" ht="17" x14ac:dyDescent="0.2">
      <c r="A288" s="193" t="s">
        <v>1280</v>
      </c>
      <c r="B288" s="87" t="s">
        <v>31</v>
      </c>
      <c r="G288" s="135">
        <v>-40</v>
      </c>
    </row>
    <row r="289" spans="1:16" ht="17" x14ac:dyDescent="0.2">
      <c r="A289" s="226" t="s">
        <v>1396</v>
      </c>
      <c r="B289" s="168"/>
      <c r="C289" s="168"/>
      <c r="D289" s="168"/>
      <c r="E289" s="168"/>
      <c r="F289" s="168"/>
      <c r="G289" s="168">
        <f>D195</f>
        <v>80</v>
      </c>
    </row>
    <row r="290" spans="1:16" ht="17" x14ac:dyDescent="0.2">
      <c r="A290" s="226" t="s">
        <v>1413</v>
      </c>
      <c r="G290" s="230">
        <f>D218</f>
        <v>77.777777777777786</v>
      </c>
    </row>
    <row r="291" spans="1:16" ht="17" x14ac:dyDescent="0.2">
      <c r="A291" s="226" t="s">
        <v>1414</v>
      </c>
      <c r="C291" s="168">
        <f>-77.778+0.778</f>
        <v>-77</v>
      </c>
    </row>
    <row r="292" spans="1:16" ht="18" thickBot="1" x14ac:dyDescent="0.25">
      <c r="A292" s="226" t="s">
        <v>1441</v>
      </c>
      <c r="B292" s="225"/>
      <c r="C292" s="225"/>
      <c r="D292" s="225"/>
      <c r="E292" s="225"/>
      <c r="F292" s="168">
        <v>1</v>
      </c>
    </row>
    <row r="293" spans="1:16" ht="18" thickBot="1" x14ac:dyDescent="0.25">
      <c r="A293" s="226" t="s">
        <v>1449</v>
      </c>
      <c r="B293" s="168"/>
      <c r="C293" s="168">
        <v>50</v>
      </c>
      <c r="J293" s="87" t="s">
        <v>1457</v>
      </c>
      <c r="L293" s="239">
        <f>L280+L286</f>
        <v>2096.5553333333332</v>
      </c>
      <c r="N293" s="87" t="s">
        <v>1459</v>
      </c>
      <c r="P293" s="239">
        <f>P277+P285</f>
        <v>2096.5555555555552</v>
      </c>
    </row>
    <row r="294" spans="1:16" ht="19" customHeight="1" thickBot="1" x14ac:dyDescent="0.25">
      <c r="A294" s="226" t="s">
        <v>1451</v>
      </c>
      <c r="B294" s="168"/>
      <c r="C294" s="168"/>
      <c r="D294" s="168"/>
      <c r="E294" s="168"/>
      <c r="F294" s="168">
        <f>C293</f>
        <v>50</v>
      </c>
      <c r="J294" s="206"/>
    </row>
    <row r="295" spans="1:16" ht="18" thickBot="1" x14ac:dyDescent="0.25">
      <c r="A295" s="193" t="s">
        <v>281</v>
      </c>
      <c r="B295" s="194"/>
      <c r="C295" s="210">
        <f>SUM(C258:C294)</f>
        <v>2096.5553333333332</v>
      </c>
      <c r="D295" s="235">
        <f>SUM(D258:D294)</f>
        <v>120</v>
      </c>
      <c r="E295" s="210">
        <f>SUM(E258:E294)</f>
        <v>2128.333333333333</v>
      </c>
      <c r="F295" s="235">
        <f>SUM(F258:F294)</f>
        <v>524</v>
      </c>
      <c r="G295" s="210">
        <f>SUM(G258:G294)</f>
        <v>675.77777777777783</v>
      </c>
    </row>
  </sheetData>
  <mergeCells count="1">
    <mergeCell ref="A1:H1"/>
  </mergeCells>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65FD2D-1483-BF47-BC20-84F69191FB23}">
  <dimension ref="A1:H68"/>
  <sheetViews>
    <sheetView rightToLeft="1" zoomScale="245" workbookViewId="0">
      <selection activeCell="G20" sqref="G20"/>
    </sheetView>
  </sheetViews>
  <sheetFormatPr baseColWidth="10" defaultRowHeight="16" x14ac:dyDescent="0.2"/>
  <cols>
    <col min="1" max="16384" width="10.83203125" style="1"/>
  </cols>
  <sheetData>
    <row r="1" spans="1:8" x14ac:dyDescent="0.2">
      <c r="A1" s="7" t="s">
        <v>2276</v>
      </c>
      <c r="B1" s="7"/>
      <c r="C1" s="7"/>
      <c r="D1" s="7"/>
      <c r="E1" s="7"/>
      <c r="F1" s="7"/>
      <c r="G1" s="7"/>
      <c r="H1" s="250">
        <v>44954</v>
      </c>
    </row>
    <row r="3" spans="1:8" x14ac:dyDescent="0.2">
      <c r="A3" s="1" t="s">
        <v>2233</v>
      </c>
    </row>
    <row r="5" spans="1:8" x14ac:dyDescent="0.2">
      <c r="A5" s="16" t="s">
        <v>317</v>
      </c>
      <c r="B5" s="16"/>
      <c r="C5" s="16"/>
      <c r="D5" s="16"/>
      <c r="E5" s="16"/>
      <c r="F5" s="16"/>
      <c r="G5" s="16" t="s">
        <v>2870</v>
      </c>
      <c r="H5" s="16"/>
    </row>
    <row r="6" spans="1:8" x14ac:dyDescent="0.2">
      <c r="A6" s="1" t="s">
        <v>2245</v>
      </c>
    </row>
    <row r="7" spans="1:8" x14ac:dyDescent="0.2">
      <c r="A7" s="1" t="s">
        <v>2246</v>
      </c>
    </row>
    <row r="8" spans="1:8" x14ac:dyDescent="0.2">
      <c r="A8" s="1" t="s">
        <v>2234</v>
      </c>
    </row>
    <row r="9" spans="1:8" x14ac:dyDescent="0.2">
      <c r="A9" s="1" t="s">
        <v>2235</v>
      </c>
    </row>
    <row r="10" spans="1:8" x14ac:dyDescent="0.2">
      <c r="A10" s="1" t="s">
        <v>2236</v>
      </c>
    </row>
    <row r="11" spans="1:8" x14ac:dyDescent="0.2">
      <c r="A11" s="1" t="s">
        <v>2237</v>
      </c>
    </row>
    <row r="12" spans="1:8" x14ac:dyDescent="0.2">
      <c r="A12" s="1" t="s">
        <v>2238</v>
      </c>
    </row>
    <row r="13" spans="1:8" x14ac:dyDescent="0.2">
      <c r="A13" s="1" t="s">
        <v>2239</v>
      </c>
    </row>
    <row r="15" spans="1:8" x14ac:dyDescent="0.2">
      <c r="A15" s="1" t="s">
        <v>2240</v>
      </c>
    </row>
    <row r="16" spans="1:8" x14ac:dyDescent="0.2">
      <c r="A16" s="1" t="s">
        <v>2241</v>
      </c>
    </row>
    <row r="17" spans="1:8" x14ac:dyDescent="0.2">
      <c r="A17" s="1" t="s">
        <v>2242</v>
      </c>
    </row>
    <row r="18" spans="1:8" x14ac:dyDescent="0.2">
      <c r="A18" s="1" t="s">
        <v>2243</v>
      </c>
    </row>
    <row r="19" spans="1:8" x14ac:dyDescent="0.2">
      <c r="A19" s="1" t="s">
        <v>2244</v>
      </c>
    </row>
    <row r="21" spans="1:8" x14ac:dyDescent="0.2">
      <c r="A21" s="16" t="s">
        <v>350</v>
      </c>
      <c r="B21" s="16"/>
      <c r="C21" s="16"/>
      <c r="D21" s="16"/>
      <c r="E21" s="16"/>
      <c r="F21" s="16"/>
      <c r="G21" s="16" t="s">
        <v>2870</v>
      </c>
      <c r="H21" s="16"/>
    </row>
    <row r="22" spans="1:8" x14ac:dyDescent="0.2">
      <c r="A22" s="1" t="s">
        <v>2247</v>
      </c>
    </row>
    <row r="23" spans="1:8" x14ac:dyDescent="0.2">
      <c r="A23" s="1" t="s">
        <v>2248</v>
      </c>
    </row>
    <row r="24" spans="1:8" x14ac:dyDescent="0.2">
      <c r="A24" s="1" t="s">
        <v>2250</v>
      </c>
    </row>
    <row r="25" spans="1:8" x14ac:dyDescent="0.2">
      <c r="A25" s="1" t="s">
        <v>2277</v>
      </c>
    </row>
    <row r="26" spans="1:8" x14ac:dyDescent="0.2">
      <c r="A26" s="1" t="s">
        <v>2249</v>
      </c>
    </row>
    <row r="28" spans="1:8" x14ac:dyDescent="0.2">
      <c r="A28" s="1" t="s">
        <v>2251</v>
      </c>
    </row>
    <row r="29" spans="1:8" x14ac:dyDescent="0.2">
      <c r="A29" s="1" t="s">
        <v>2252</v>
      </c>
    </row>
    <row r="30" spans="1:8" x14ac:dyDescent="0.2">
      <c r="A30" s="1" t="s">
        <v>2253</v>
      </c>
    </row>
    <row r="31" spans="1:8" x14ac:dyDescent="0.2">
      <c r="A31" s="1" t="s">
        <v>2254</v>
      </c>
    </row>
    <row r="33" spans="1:8" x14ac:dyDescent="0.2">
      <c r="A33" s="1" t="s">
        <v>2255</v>
      </c>
    </row>
    <row r="34" spans="1:8" x14ac:dyDescent="0.2">
      <c r="A34" s="1" t="s">
        <v>2278</v>
      </c>
    </row>
    <row r="35" spans="1:8" x14ac:dyDescent="0.2">
      <c r="A35" s="1" t="s">
        <v>2279</v>
      </c>
    </row>
    <row r="37" spans="1:8" x14ac:dyDescent="0.2">
      <c r="A37" s="16" t="s">
        <v>2256</v>
      </c>
      <c r="B37" s="16"/>
      <c r="C37" s="16"/>
      <c r="D37" s="16"/>
      <c r="E37" s="16"/>
      <c r="F37" s="16"/>
      <c r="G37" s="481" t="s">
        <v>2869</v>
      </c>
      <c r="H37" s="16"/>
    </row>
    <row r="38" spans="1:8" x14ac:dyDescent="0.2">
      <c r="A38" s="1" t="s">
        <v>2257</v>
      </c>
    </row>
    <row r="39" spans="1:8" x14ac:dyDescent="0.2">
      <c r="A39" s="1" t="s">
        <v>2258</v>
      </c>
    </row>
    <row r="40" spans="1:8" x14ac:dyDescent="0.2">
      <c r="C40" s="1" t="s">
        <v>648</v>
      </c>
      <c r="E40" s="1" t="s">
        <v>2259</v>
      </c>
    </row>
    <row r="41" spans="1:8" x14ac:dyDescent="0.2">
      <c r="A41" s="1" t="s">
        <v>638</v>
      </c>
      <c r="B41" s="1" t="s">
        <v>642</v>
      </c>
      <c r="C41" s="1" t="s">
        <v>639</v>
      </c>
      <c r="D41" s="1" t="s">
        <v>640</v>
      </c>
      <c r="E41" s="1" t="s">
        <v>639</v>
      </c>
      <c r="F41" s="1" t="s">
        <v>641</v>
      </c>
    </row>
    <row r="42" spans="1:8" x14ac:dyDescent="0.2">
      <c r="A42" s="120">
        <v>44562</v>
      </c>
      <c r="B42" s="1" t="s">
        <v>88</v>
      </c>
      <c r="C42" s="1">
        <v>300</v>
      </c>
      <c r="D42" s="1">
        <v>40</v>
      </c>
    </row>
    <row r="43" spans="1:8" x14ac:dyDescent="0.2">
      <c r="A43" s="120">
        <v>44580</v>
      </c>
      <c r="B43" s="1" t="s">
        <v>643</v>
      </c>
      <c r="C43" s="1">
        <v>200</v>
      </c>
      <c r="D43" s="1">
        <v>50</v>
      </c>
    </row>
    <row r="44" spans="1:8" x14ac:dyDescent="0.2">
      <c r="A44" s="120">
        <v>44598</v>
      </c>
      <c r="B44" s="1" t="s">
        <v>644</v>
      </c>
      <c r="E44" s="1">
        <v>350</v>
      </c>
      <c r="F44" s="1">
        <v>80</v>
      </c>
    </row>
    <row r="45" spans="1:8" x14ac:dyDescent="0.2">
      <c r="A45" s="120">
        <v>44649</v>
      </c>
      <c r="B45" s="1" t="s">
        <v>644</v>
      </c>
      <c r="E45" s="1">
        <v>20</v>
      </c>
      <c r="F45" s="1">
        <v>90</v>
      </c>
    </row>
    <row r="46" spans="1:8" x14ac:dyDescent="0.2">
      <c r="A46" s="120">
        <v>44652</v>
      </c>
      <c r="B46" s="1" t="s">
        <v>643</v>
      </c>
      <c r="C46" s="1">
        <v>400</v>
      </c>
      <c r="D46" s="1">
        <v>60</v>
      </c>
    </row>
    <row r="47" spans="1:8" x14ac:dyDescent="0.2">
      <c r="A47" s="120">
        <v>44749</v>
      </c>
      <c r="B47" s="1" t="s">
        <v>643</v>
      </c>
      <c r="C47" s="1">
        <v>100</v>
      </c>
      <c r="D47" s="1">
        <v>70</v>
      </c>
    </row>
    <row r="48" spans="1:8" x14ac:dyDescent="0.2">
      <c r="A48" s="120">
        <v>44788</v>
      </c>
      <c r="B48" s="1" t="s">
        <v>644</v>
      </c>
      <c r="E48" s="1">
        <v>300</v>
      </c>
      <c r="F48" s="1">
        <v>85</v>
      </c>
    </row>
    <row r="50" spans="1:8" x14ac:dyDescent="0.2">
      <c r="A50" s="1" t="s">
        <v>204</v>
      </c>
    </row>
    <row r="51" spans="1:8" x14ac:dyDescent="0.2">
      <c r="A51" s="1" t="s">
        <v>2260</v>
      </c>
    </row>
    <row r="52" spans="1:8" x14ac:dyDescent="0.2">
      <c r="A52" s="1" t="s">
        <v>2264</v>
      </c>
    </row>
    <row r="53" spans="1:8" x14ac:dyDescent="0.2">
      <c r="A53" s="1" t="s">
        <v>2261</v>
      </c>
    </row>
    <row r="54" spans="1:8" x14ac:dyDescent="0.2">
      <c r="A54" s="1" t="s">
        <v>2262</v>
      </c>
    </row>
    <row r="55" spans="1:8" x14ac:dyDescent="0.2">
      <c r="A55" s="1" t="s">
        <v>2263</v>
      </c>
    </row>
    <row r="57" spans="1:8" x14ac:dyDescent="0.2">
      <c r="A57" s="16" t="s">
        <v>2265</v>
      </c>
      <c r="B57" s="16"/>
      <c r="C57" s="16"/>
      <c r="D57" s="16"/>
      <c r="E57" s="16"/>
      <c r="F57" s="16"/>
      <c r="G57" s="16" t="s">
        <v>2870</v>
      </c>
      <c r="H57" s="16"/>
    </row>
    <row r="58" spans="1:8" x14ac:dyDescent="0.2">
      <c r="A58" s="1" t="s">
        <v>2266</v>
      </c>
    </row>
    <row r="59" spans="1:8" x14ac:dyDescent="0.2">
      <c r="A59" s="1" t="s">
        <v>2267</v>
      </c>
    </row>
    <row r="60" spans="1:8" x14ac:dyDescent="0.2">
      <c r="A60" s="1" t="s">
        <v>2268</v>
      </c>
    </row>
    <row r="61" spans="1:8" x14ac:dyDescent="0.2">
      <c r="A61" s="1" t="s">
        <v>2269</v>
      </c>
    </row>
    <row r="62" spans="1:8" x14ac:dyDescent="0.2">
      <c r="A62" s="1" t="s">
        <v>2270</v>
      </c>
    </row>
    <row r="63" spans="1:8" x14ac:dyDescent="0.2">
      <c r="A63" s="1" t="s">
        <v>2271</v>
      </c>
    </row>
    <row r="64" spans="1:8" x14ac:dyDescent="0.2">
      <c r="A64" s="1" t="s">
        <v>2272</v>
      </c>
    </row>
    <row r="65" spans="1:1" x14ac:dyDescent="0.2">
      <c r="A65" s="1" t="s">
        <v>204</v>
      </c>
    </row>
    <row r="66" spans="1:1" x14ac:dyDescent="0.2">
      <c r="A66" s="1" t="s">
        <v>2273</v>
      </c>
    </row>
    <row r="67" spans="1:1" x14ac:dyDescent="0.2">
      <c r="A67" s="1" t="s">
        <v>2274</v>
      </c>
    </row>
    <row r="68" spans="1:1" x14ac:dyDescent="0.2">
      <c r="A68" s="1" t="s">
        <v>2275</v>
      </c>
    </row>
  </sheetData>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9888B02-2059-4F4B-A80F-356EE6430D6C}">
  <dimension ref="A1:H242"/>
  <sheetViews>
    <sheetView rightToLeft="1" zoomScale="125" workbookViewId="0">
      <selection activeCell="R63" sqref="R63"/>
    </sheetView>
  </sheetViews>
  <sheetFormatPr baseColWidth="10" defaultRowHeight="16" x14ac:dyDescent="0.2"/>
  <cols>
    <col min="1" max="1" width="33.83203125" style="1" customWidth="1"/>
    <col min="2" max="2" width="10.83203125" style="1"/>
    <col min="3" max="3" width="12.1640625" style="1" customWidth="1"/>
    <col min="4" max="16384" width="10.83203125" style="1"/>
  </cols>
  <sheetData>
    <row r="1" spans="1:7" x14ac:dyDescent="0.2">
      <c r="A1" s="1" t="s">
        <v>2098</v>
      </c>
      <c r="G1" s="120">
        <v>44949</v>
      </c>
    </row>
    <row r="3" spans="1:7" s="25" customFormat="1" x14ac:dyDescent="0.2">
      <c r="A3" s="346" t="s">
        <v>14</v>
      </c>
      <c r="B3" s="347" t="s">
        <v>114</v>
      </c>
      <c r="C3" s="36" t="s">
        <v>11</v>
      </c>
      <c r="D3" s="36" t="s">
        <v>12</v>
      </c>
      <c r="E3" s="36" t="s">
        <v>1640</v>
      </c>
      <c r="F3" s="36" t="s">
        <v>9</v>
      </c>
      <c r="G3" s="36" t="s">
        <v>10</v>
      </c>
    </row>
    <row r="4" spans="1:7" x14ac:dyDescent="0.2">
      <c r="A4" s="320" t="s">
        <v>1262</v>
      </c>
      <c r="B4" s="348">
        <v>500</v>
      </c>
      <c r="C4" s="145">
        <v>564.125</v>
      </c>
      <c r="D4" s="6"/>
      <c r="E4" s="6"/>
      <c r="F4" s="6"/>
      <c r="G4" s="6"/>
    </row>
    <row r="5" spans="1:7" x14ac:dyDescent="0.2">
      <c r="A5" s="320" t="s">
        <v>1947</v>
      </c>
      <c r="B5" s="348">
        <v>40</v>
      </c>
      <c r="C5" s="6"/>
      <c r="D5" s="6"/>
      <c r="E5" s="6"/>
      <c r="F5" s="6"/>
      <c r="G5" s="145">
        <v>25</v>
      </c>
    </row>
    <row r="6" spans="1:7" x14ac:dyDescent="0.2">
      <c r="A6" s="320" t="s">
        <v>19</v>
      </c>
      <c r="B6" s="348">
        <v>600</v>
      </c>
      <c r="C6" s="6">
        <f>B6</f>
        <v>600</v>
      </c>
      <c r="D6" s="6"/>
      <c r="E6" s="6"/>
      <c r="F6" s="6"/>
      <c r="G6" s="6"/>
    </row>
    <row r="7" spans="1:7" x14ac:dyDescent="0.2">
      <c r="A7" s="320" t="s">
        <v>17</v>
      </c>
      <c r="B7" s="348">
        <v>150</v>
      </c>
      <c r="C7" s="6">
        <f>B7</f>
        <v>150</v>
      </c>
      <c r="D7" s="6"/>
      <c r="E7" s="6"/>
      <c r="F7" s="6"/>
      <c r="G7" s="6"/>
    </row>
    <row r="8" spans="1:7" x14ac:dyDescent="0.2">
      <c r="A8" s="320" t="s">
        <v>75</v>
      </c>
      <c r="B8" s="348">
        <v>950</v>
      </c>
      <c r="C8" s="6"/>
      <c r="D8" s="6"/>
      <c r="E8" s="6"/>
      <c r="F8" s="6">
        <f>B8</f>
        <v>950</v>
      </c>
      <c r="G8" s="6"/>
    </row>
    <row r="9" spans="1:7" ht="17" x14ac:dyDescent="0.2">
      <c r="A9" s="322" t="s">
        <v>2096</v>
      </c>
      <c r="B9" s="348">
        <v>100</v>
      </c>
      <c r="C9" s="6">
        <f>B9</f>
        <v>100</v>
      </c>
      <c r="D9" s="6"/>
      <c r="E9" s="6"/>
      <c r="F9" s="6"/>
      <c r="G9" s="6"/>
    </row>
    <row r="10" spans="1:7" x14ac:dyDescent="0.2">
      <c r="A10" s="320" t="s">
        <v>21</v>
      </c>
      <c r="B10" s="348">
        <v>70</v>
      </c>
      <c r="C10" s="6"/>
      <c r="D10" s="6">
        <f>B10</f>
        <v>70</v>
      </c>
      <c r="E10" s="6"/>
      <c r="F10" s="6"/>
      <c r="G10" s="6"/>
    </row>
    <row r="11" spans="1:7" ht="17" x14ac:dyDescent="0.2">
      <c r="A11" s="322" t="s">
        <v>2097</v>
      </c>
      <c r="B11" s="348">
        <v>15</v>
      </c>
      <c r="C11" s="6"/>
      <c r="D11" s="145">
        <v>0</v>
      </c>
      <c r="E11" s="6"/>
      <c r="F11" s="6"/>
      <c r="G11" s="6"/>
    </row>
    <row r="12" spans="1:7" ht="17" x14ac:dyDescent="0.2">
      <c r="A12" s="322" t="s">
        <v>27</v>
      </c>
      <c r="B12" s="348">
        <v>180</v>
      </c>
      <c r="C12" s="6"/>
      <c r="D12" s="6">
        <f>B12</f>
        <v>180</v>
      </c>
      <c r="E12" s="6"/>
      <c r="F12" s="6"/>
      <c r="G12" s="6"/>
    </row>
    <row r="13" spans="1:7" x14ac:dyDescent="0.2">
      <c r="A13" s="320" t="s">
        <v>29</v>
      </c>
      <c r="B13" s="348">
        <v>100</v>
      </c>
      <c r="C13" s="6"/>
      <c r="D13" s="6"/>
      <c r="E13" s="6">
        <f>B13</f>
        <v>100</v>
      </c>
      <c r="F13" s="6"/>
      <c r="G13" s="6"/>
    </row>
    <row r="14" spans="1:7" x14ac:dyDescent="0.2">
      <c r="A14" s="320" t="s">
        <v>268</v>
      </c>
      <c r="B14" s="348">
        <v>300</v>
      </c>
      <c r="C14" s="6"/>
      <c r="D14" s="6"/>
      <c r="E14" s="6"/>
      <c r="F14" s="6"/>
      <c r="G14" s="6">
        <f>B14</f>
        <v>300</v>
      </c>
    </row>
    <row r="15" spans="1:7" x14ac:dyDescent="0.2">
      <c r="A15" s="320" t="s">
        <v>1302</v>
      </c>
      <c r="B15" s="348">
        <v>60</v>
      </c>
      <c r="C15" s="6"/>
      <c r="D15" s="6"/>
      <c r="E15" s="6"/>
      <c r="F15" s="6"/>
      <c r="G15" s="6">
        <f>B15</f>
        <v>60</v>
      </c>
    </row>
    <row r="16" spans="1:7" x14ac:dyDescent="0.2">
      <c r="A16" s="320" t="s">
        <v>1321</v>
      </c>
      <c r="B16" s="348" t="s">
        <v>31</v>
      </c>
      <c r="C16" s="6"/>
      <c r="D16" s="6"/>
      <c r="E16" s="176">
        <v>1146.5</v>
      </c>
      <c r="F16" s="6"/>
      <c r="G16" s="6"/>
    </row>
    <row r="17" spans="1:7" ht="17" x14ac:dyDescent="0.2">
      <c r="A17" s="371" t="s">
        <v>1265</v>
      </c>
      <c r="B17" s="348">
        <v>400</v>
      </c>
      <c r="C17" s="145">
        <v>300</v>
      </c>
      <c r="D17" s="6"/>
      <c r="E17" s="6"/>
      <c r="F17" s="6"/>
      <c r="G17" s="6"/>
    </row>
    <row r="18" spans="1:7" ht="17" x14ac:dyDescent="0.2">
      <c r="A18" s="371" t="s">
        <v>2056</v>
      </c>
      <c r="B18" s="348" t="s">
        <v>31</v>
      </c>
      <c r="C18" s="169">
        <v>-56.25</v>
      </c>
      <c r="D18" s="6"/>
      <c r="E18" s="6"/>
      <c r="F18" s="6"/>
      <c r="G18" s="6"/>
    </row>
    <row r="19" spans="1:7" ht="17" x14ac:dyDescent="0.2">
      <c r="A19" s="322" t="s">
        <v>116</v>
      </c>
      <c r="B19" s="348">
        <v>15</v>
      </c>
      <c r="C19" s="6"/>
      <c r="D19" s="6"/>
      <c r="E19" s="6"/>
      <c r="F19" s="6">
        <f>B19</f>
        <v>15</v>
      </c>
      <c r="G19" s="6"/>
    </row>
    <row r="20" spans="1:7" ht="17" x14ac:dyDescent="0.2">
      <c r="A20" s="322" t="s">
        <v>1270</v>
      </c>
      <c r="B20" s="348">
        <v>80</v>
      </c>
      <c r="C20" s="6">
        <f>B20</f>
        <v>80</v>
      </c>
      <c r="D20" s="6"/>
      <c r="E20" s="6"/>
      <c r="F20" s="6"/>
      <c r="G20" s="6"/>
    </row>
    <row r="21" spans="1:7" ht="17" x14ac:dyDescent="0.2">
      <c r="A21" s="322" t="s">
        <v>1949</v>
      </c>
      <c r="B21" s="348">
        <v>95</v>
      </c>
      <c r="C21" s="6">
        <f>B21</f>
        <v>95</v>
      </c>
      <c r="D21" s="6"/>
      <c r="E21" s="6"/>
      <c r="F21" s="6"/>
      <c r="G21" s="6"/>
    </row>
    <row r="22" spans="1:7" x14ac:dyDescent="0.2">
      <c r="A22" s="320" t="s">
        <v>28</v>
      </c>
      <c r="B22" s="348">
        <v>100</v>
      </c>
      <c r="C22" s="6"/>
      <c r="D22" s="6">
        <f>B22</f>
        <v>100</v>
      </c>
      <c r="E22" s="6"/>
      <c r="F22" s="6"/>
      <c r="G22" s="6"/>
    </row>
    <row r="23" spans="1:7" ht="17" x14ac:dyDescent="0.2">
      <c r="A23" s="371" t="s">
        <v>267</v>
      </c>
      <c r="B23" s="381">
        <v>75</v>
      </c>
      <c r="C23" s="145"/>
      <c r="D23" s="145"/>
      <c r="E23" s="145"/>
      <c r="F23" s="145"/>
      <c r="G23" s="145">
        <f>B23+8</f>
        <v>83</v>
      </c>
    </row>
    <row r="24" spans="1:7" ht="17" x14ac:dyDescent="0.2">
      <c r="A24" s="322" t="s">
        <v>1274</v>
      </c>
      <c r="B24" s="348">
        <v>20</v>
      </c>
      <c r="C24" s="6"/>
      <c r="D24" s="6"/>
      <c r="E24" s="6"/>
      <c r="F24" s="6">
        <f>B24</f>
        <v>20</v>
      </c>
      <c r="G24" s="6"/>
    </row>
    <row r="25" spans="1:7" ht="17" x14ac:dyDescent="0.2">
      <c r="A25" s="322" t="s">
        <v>1950</v>
      </c>
      <c r="B25" s="348">
        <v>45</v>
      </c>
      <c r="C25" s="6"/>
      <c r="D25" s="6"/>
      <c r="E25" s="6"/>
      <c r="F25" s="6"/>
      <c r="G25" s="6">
        <f>B25</f>
        <v>45</v>
      </c>
    </row>
    <row r="26" spans="1:7" ht="17" x14ac:dyDescent="0.2">
      <c r="A26" s="322" t="s">
        <v>1276</v>
      </c>
      <c r="B26" s="348">
        <v>62</v>
      </c>
      <c r="C26" s="6"/>
      <c r="D26" s="6"/>
      <c r="E26" s="6"/>
      <c r="F26" s="6"/>
      <c r="G26" s="6">
        <f>B26</f>
        <v>62</v>
      </c>
    </row>
    <row r="27" spans="1:7" ht="17" x14ac:dyDescent="0.2">
      <c r="A27" s="322" t="s">
        <v>1277</v>
      </c>
      <c r="B27" s="348">
        <v>93</v>
      </c>
      <c r="C27" s="6"/>
      <c r="D27" s="6"/>
      <c r="E27" s="6"/>
      <c r="F27" s="6"/>
      <c r="G27" s="6">
        <f>B27</f>
        <v>93</v>
      </c>
    </row>
    <row r="28" spans="1:7" ht="17" x14ac:dyDescent="0.2">
      <c r="A28" s="322" t="s">
        <v>269</v>
      </c>
      <c r="B28" s="348">
        <v>14</v>
      </c>
      <c r="C28" s="6"/>
      <c r="D28" s="6"/>
      <c r="E28" s="6"/>
      <c r="F28" s="6"/>
      <c r="G28" s="6">
        <f>B28</f>
        <v>14</v>
      </c>
    </row>
    <row r="29" spans="1:7" ht="17" x14ac:dyDescent="0.2">
      <c r="A29" s="322" t="s">
        <v>1951</v>
      </c>
      <c r="B29" s="348">
        <v>20</v>
      </c>
      <c r="C29" s="6"/>
      <c r="D29" s="6"/>
      <c r="E29" s="6"/>
      <c r="F29" s="6"/>
      <c r="G29" s="6">
        <f>B29</f>
        <v>20</v>
      </c>
    </row>
    <row r="30" spans="1:7" ht="17" x14ac:dyDescent="0.2">
      <c r="A30" s="322" t="s">
        <v>1279</v>
      </c>
      <c r="B30" s="348" t="s">
        <v>31</v>
      </c>
      <c r="C30" s="157">
        <f>D80</f>
        <v>120</v>
      </c>
      <c r="D30" s="6"/>
      <c r="E30" s="6"/>
      <c r="F30" s="6"/>
      <c r="G30" s="6"/>
    </row>
    <row r="31" spans="1:7" ht="17" x14ac:dyDescent="0.2">
      <c r="A31" s="322" t="s">
        <v>1280</v>
      </c>
      <c r="B31" s="348" t="s">
        <v>31</v>
      </c>
      <c r="C31" s="6"/>
      <c r="D31" s="6"/>
      <c r="E31" s="6"/>
      <c r="F31" s="6"/>
      <c r="G31" s="157">
        <f>-C30</f>
        <v>-120</v>
      </c>
    </row>
    <row r="32" spans="1:7" ht="17" x14ac:dyDescent="0.2">
      <c r="A32" s="322" t="s">
        <v>281</v>
      </c>
      <c r="B32" s="348"/>
      <c r="C32" s="329">
        <f>SUM(C4:C31)</f>
        <v>1952.875</v>
      </c>
      <c r="D32" s="329">
        <f>SUM(D4:D31)</f>
        <v>350</v>
      </c>
      <c r="E32" s="329">
        <f>SUM(E4:E31)</f>
        <v>1246.5</v>
      </c>
      <c r="F32" s="329">
        <f t="shared" ref="F32:G32" si="0">SUM(F4:F31)</f>
        <v>985</v>
      </c>
      <c r="G32" s="329">
        <f t="shared" si="0"/>
        <v>582</v>
      </c>
    </row>
    <row r="33" spans="1:8" x14ac:dyDescent="0.2">
      <c r="A33" s="322"/>
      <c r="B33" s="348"/>
      <c r="C33" s="36" t="s">
        <v>11</v>
      </c>
      <c r="D33" s="36" t="s">
        <v>12</v>
      </c>
      <c r="E33" s="36" t="s">
        <v>1640</v>
      </c>
      <c r="F33" s="36" t="s">
        <v>9</v>
      </c>
      <c r="G33" s="36" t="s">
        <v>10</v>
      </c>
    </row>
    <row r="34" spans="1:8" ht="17" x14ac:dyDescent="0.2">
      <c r="A34" s="371" t="s">
        <v>2202</v>
      </c>
      <c r="B34" s="348"/>
      <c r="C34" s="6"/>
      <c r="D34" s="6"/>
      <c r="E34" s="6"/>
      <c r="F34" s="6"/>
      <c r="G34" s="380">
        <f>40.625-C36</f>
        <v>50.833333333333336</v>
      </c>
    </row>
    <row r="35" spans="1:8" ht="17" x14ac:dyDescent="0.2">
      <c r="A35" s="371" t="s">
        <v>2203</v>
      </c>
      <c r="B35" s="372"/>
      <c r="C35" s="46"/>
      <c r="D35" s="46"/>
      <c r="E35" s="46"/>
      <c r="F35" s="46"/>
      <c r="G35" s="145">
        <v>14</v>
      </c>
      <c r="H35" s="373"/>
    </row>
    <row r="36" spans="1:8" ht="17" x14ac:dyDescent="0.2">
      <c r="A36" s="371" t="s">
        <v>2021</v>
      </c>
      <c r="B36" s="348"/>
      <c r="C36" s="380">
        <f>-B189</f>
        <v>-10.208333333333334</v>
      </c>
      <c r="D36" s="6"/>
      <c r="E36" s="6"/>
      <c r="F36" s="6"/>
      <c r="G36" s="6"/>
      <c r="H36" s="373"/>
    </row>
    <row r="37" spans="1:8" ht="17" x14ac:dyDescent="0.2">
      <c r="A37" s="371" t="s">
        <v>2217</v>
      </c>
      <c r="B37" s="381"/>
      <c r="C37" s="145"/>
      <c r="D37" s="145">
        <v>8</v>
      </c>
      <c r="E37" s="6"/>
      <c r="F37" s="231"/>
      <c r="G37" s="6"/>
    </row>
    <row r="38" spans="1:8" x14ac:dyDescent="0.2">
      <c r="A38" s="322"/>
      <c r="B38" s="348"/>
      <c r="C38" s="6"/>
      <c r="D38" s="6"/>
      <c r="E38" s="6"/>
      <c r="F38" s="231"/>
      <c r="G38" s="6"/>
    </row>
    <row r="39" spans="1:8" x14ac:dyDescent="0.2">
      <c r="A39" s="322"/>
      <c r="B39" s="348"/>
      <c r="C39" s="6"/>
      <c r="D39" s="6"/>
      <c r="E39" s="6"/>
      <c r="F39" s="6"/>
      <c r="G39" s="6"/>
    </row>
    <row r="40" spans="1:8" ht="27" customHeight="1" x14ac:dyDescent="0.2">
      <c r="A40" s="627" t="s">
        <v>2218</v>
      </c>
      <c r="B40" s="627"/>
      <c r="C40" s="627"/>
      <c r="D40" s="6"/>
      <c r="E40" s="6"/>
      <c r="F40" s="6"/>
      <c r="G40" s="6"/>
    </row>
    <row r="41" spans="1:8" x14ac:dyDescent="0.2">
      <c r="A41" s="322"/>
      <c r="B41" s="348"/>
      <c r="C41" s="87" t="s">
        <v>2132</v>
      </c>
      <c r="D41" s="6"/>
      <c r="E41" s="6"/>
      <c r="F41" s="6"/>
      <c r="G41" s="6"/>
    </row>
    <row r="42" spans="1:8" x14ac:dyDescent="0.2">
      <c r="A42" s="322"/>
      <c r="B42" s="348"/>
      <c r="C42" s="581" t="s">
        <v>2133</v>
      </c>
      <c r="D42" s="581"/>
      <c r="E42" s="581"/>
      <c r="F42" s="581"/>
      <c r="G42" s="6"/>
    </row>
    <row r="43" spans="1:8" x14ac:dyDescent="0.2">
      <c r="A43" s="322"/>
      <c r="B43" s="348"/>
      <c r="C43" s="176" t="s">
        <v>2135</v>
      </c>
      <c r="D43" s="176">
        <v>1146.5</v>
      </c>
      <c r="E43" s="176" t="s">
        <v>2134</v>
      </c>
      <c r="F43" s="6"/>
      <c r="G43" s="6"/>
    </row>
    <row r="44" spans="1:8" x14ac:dyDescent="0.2">
      <c r="A44" s="322"/>
      <c r="B44" s="348"/>
      <c r="C44" s="6"/>
      <c r="D44" s="6"/>
      <c r="E44" s="6"/>
      <c r="F44" s="6"/>
      <c r="G44" s="6"/>
    </row>
    <row r="45" spans="1:8" ht="17" thickBot="1" x14ac:dyDescent="0.25"/>
    <row r="46" spans="1:8" x14ac:dyDescent="0.2">
      <c r="A46" s="349" t="s">
        <v>2099</v>
      </c>
      <c r="B46" s="350"/>
      <c r="C46" s="350"/>
      <c r="D46" s="350"/>
      <c r="E46" s="350"/>
      <c r="F46" s="350"/>
      <c r="G46" s="351"/>
    </row>
    <row r="47" spans="1:8" x14ac:dyDescent="0.2">
      <c r="A47" s="352" t="s">
        <v>2100</v>
      </c>
      <c r="B47" s="85"/>
      <c r="C47" s="85"/>
      <c r="D47" s="85"/>
      <c r="E47" s="85"/>
      <c r="F47" s="85"/>
      <c r="G47" s="353"/>
    </row>
    <row r="48" spans="1:8" ht="17" thickBot="1" x14ac:dyDescent="0.25">
      <c r="A48" s="354" t="s">
        <v>2101</v>
      </c>
      <c r="B48" s="355"/>
      <c r="C48" s="355"/>
      <c r="D48" s="355"/>
      <c r="E48" s="355"/>
      <c r="F48" s="355"/>
      <c r="G48" s="356"/>
    </row>
    <row r="50" spans="1:6" x14ac:dyDescent="0.2">
      <c r="A50" s="110" t="s">
        <v>2102</v>
      </c>
    </row>
    <row r="51" spans="1:6" x14ac:dyDescent="0.2">
      <c r="A51" s="1" t="s">
        <v>2103</v>
      </c>
    </row>
    <row r="52" spans="1:6" x14ac:dyDescent="0.2">
      <c r="A52" s="1" t="s">
        <v>2104</v>
      </c>
    </row>
    <row r="53" spans="1:6" x14ac:dyDescent="0.2">
      <c r="A53" s="1" t="s">
        <v>2105</v>
      </c>
    </row>
    <row r="54" spans="1:6" x14ac:dyDescent="0.2">
      <c r="A54" s="1" t="s">
        <v>2106</v>
      </c>
    </row>
    <row r="55" spans="1:6" x14ac:dyDescent="0.2">
      <c r="A55" s="1" t="s">
        <v>2107</v>
      </c>
    </row>
    <row r="57" spans="1:6" x14ac:dyDescent="0.2">
      <c r="A57" s="1" t="s">
        <v>2108</v>
      </c>
    </row>
    <row r="58" spans="1:6" x14ac:dyDescent="0.2">
      <c r="A58" s="1" t="s">
        <v>2115</v>
      </c>
    </row>
    <row r="59" spans="1:6" x14ac:dyDescent="0.2">
      <c r="A59" s="1" t="s">
        <v>2109</v>
      </c>
    </row>
    <row r="60" spans="1:6" x14ac:dyDescent="0.2">
      <c r="A60" s="1" t="s">
        <v>2110</v>
      </c>
    </row>
    <row r="61" spans="1:6" x14ac:dyDescent="0.2">
      <c r="A61" s="1" t="s">
        <v>2111</v>
      </c>
    </row>
    <row r="62" spans="1:6" x14ac:dyDescent="0.2">
      <c r="A62" s="1" t="s">
        <v>2112</v>
      </c>
    </row>
    <row r="63" spans="1:6" x14ac:dyDescent="0.2">
      <c r="D63" s="1">
        <v>300</v>
      </c>
      <c r="F63" s="1" t="s">
        <v>2113</v>
      </c>
    </row>
    <row r="65" spans="1:6" x14ac:dyDescent="0.2">
      <c r="A65" s="1" t="s">
        <v>2114</v>
      </c>
      <c r="D65" s="3">
        <f>300/8</f>
        <v>37.5</v>
      </c>
      <c r="F65" s="1" t="s">
        <v>2116</v>
      </c>
    </row>
    <row r="67" spans="1:6" x14ac:dyDescent="0.2">
      <c r="A67" s="1" t="s">
        <v>2117</v>
      </c>
    </row>
    <row r="68" spans="1:6" x14ac:dyDescent="0.2">
      <c r="A68" s="1" t="s">
        <v>2118</v>
      </c>
    </row>
    <row r="70" spans="1:6" x14ac:dyDescent="0.2">
      <c r="A70" s="110" t="s">
        <v>2119</v>
      </c>
    </row>
    <row r="71" spans="1:6" x14ac:dyDescent="0.2">
      <c r="A71" s="1" t="s">
        <v>2120</v>
      </c>
    </row>
    <row r="72" spans="1:6" x14ac:dyDescent="0.2">
      <c r="A72" s="1" t="s">
        <v>2121</v>
      </c>
      <c r="B72" s="1" t="s">
        <v>2122</v>
      </c>
    </row>
    <row r="73" spans="1:6" x14ac:dyDescent="0.2">
      <c r="B73" s="1" t="s">
        <v>2123</v>
      </c>
    </row>
    <row r="74" spans="1:6" x14ac:dyDescent="0.2">
      <c r="C74" s="1" t="s">
        <v>2124</v>
      </c>
      <c r="D74" s="1">
        <v>6</v>
      </c>
    </row>
    <row r="75" spans="1:6" x14ac:dyDescent="0.2">
      <c r="C75" s="1" t="s">
        <v>2125</v>
      </c>
      <c r="D75" s="1">
        <v>0</v>
      </c>
    </row>
    <row r="76" spans="1:6" x14ac:dyDescent="0.2">
      <c r="C76" s="1" t="s">
        <v>2126</v>
      </c>
      <c r="D76" s="1">
        <f>D74-D75</f>
        <v>6</v>
      </c>
      <c r="E76" s="1" t="s">
        <v>2127</v>
      </c>
    </row>
    <row r="78" spans="1:6" x14ac:dyDescent="0.2">
      <c r="B78" s="1" t="s">
        <v>2128</v>
      </c>
    </row>
    <row r="79" spans="1:6" x14ac:dyDescent="0.2">
      <c r="B79" s="1" t="s">
        <v>2129</v>
      </c>
      <c r="E79" s="1" t="s">
        <v>2130</v>
      </c>
    </row>
    <row r="80" spans="1:6" x14ac:dyDescent="0.2">
      <c r="B80" s="1" t="s">
        <v>2131</v>
      </c>
      <c r="D80" s="3">
        <v>120</v>
      </c>
    </row>
    <row r="81" spans="1:7" ht="17" thickBot="1" x14ac:dyDescent="0.25"/>
    <row r="82" spans="1:7" x14ac:dyDescent="0.2">
      <c r="A82" s="349" t="s">
        <v>2136</v>
      </c>
      <c r="B82" s="350"/>
      <c r="C82" s="350"/>
      <c r="D82" s="350"/>
      <c r="E82" s="350"/>
      <c r="F82" s="350"/>
      <c r="G82" s="351"/>
    </row>
    <row r="83" spans="1:7" ht="17" thickBot="1" x14ac:dyDescent="0.25">
      <c r="A83" s="354" t="s">
        <v>2137</v>
      </c>
      <c r="B83" s="355"/>
      <c r="C83" s="355"/>
      <c r="D83" s="355"/>
      <c r="E83" s="355"/>
      <c r="F83" s="355"/>
      <c r="G83" s="356"/>
    </row>
    <row r="92" spans="1:7" x14ac:dyDescent="0.2">
      <c r="B92" s="25" t="s">
        <v>2138</v>
      </c>
      <c r="C92" s="25"/>
      <c r="D92" s="25"/>
      <c r="E92" s="25" t="s">
        <v>469</v>
      </c>
      <c r="F92" s="25" t="s">
        <v>10</v>
      </c>
    </row>
    <row r="93" spans="1:7" x14ac:dyDescent="0.2">
      <c r="B93" s="1" t="s">
        <v>1947</v>
      </c>
      <c r="F93" s="1">
        <v>40</v>
      </c>
    </row>
    <row r="94" spans="1:7" x14ac:dyDescent="0.2">
      <c r="B94" s="1" t="s">
        <v>2139</v>
      </c>
      <c r="E94" s="1">
        <v>15</v>
      </c>
    </row>
    <row r="96" spans="1:7" x14ac:dyDescent="0.2">
      <c r="B96" s="1" t="s">
        <v>2140</v>
      </c>
    </row>
    <row r="97" spans="2:7" x14ac:dyDescent="0.2">
      <c r="B97" s="1" t="s">
        <v>2141</v>
      </c>
    </row>
    <row r="98" spans="2:7" x14ac:dyDescent="0.2">
      <c r="C98" s="25" t="s">
        <v>1998</v>
      </c>
      <c r="D98" s="25" t="s">
        <v>1756</v>
      </c>
      <c r="E98" s="25" t="s">
        <v>2144</v>
      </c>
      <c r="F98" s="25"/>
      <c r="G98" s="25" t="s">
        <v>2145</v>
      </c>
    </row>
    <row r="99" spans="2:7" x14ac:dyDescent="0.2">
      <c r="B99" s="1">
        <v>2020</v>
      </c>
      <c r="C99" s="1">
        <v>0</v>
      </c>
      <c r="D99" s="1">
        <v>15</v>
      </c>
      <c r="E99" s="1" t="s">
        <v>2143</v>
      </c>
      <c r="G99" s="1" t="s">
        <v>2146</v>
      </c>
    </row>
    <row r="100" spans="2:7" ht="17" thickBot="1" x14ac:dyDescent="0.25">
      <c r="E100" s="1" t="s">
        <v>2142</v>
      </c>
    </row>
    <row r="101" spans="2:7" x14ac:dyDescent="0.2">
      <c r="B101" s="1">
        <v>2021</v>
      </c>
      <c r="C101" s="1" t="s">
        <v>2147</v>
      </c>
      <c r="D101" s="1">
        <v>25</v>
      </c>
      <c r="E101" s="357" t="s">
        <v>2150</v>
      </c>
      <c r="F101" s="358"/>
      <c r="G101" s="1">
        <v>0</v>
      </c>
    </row>
    <row r="102" spans="2:7" ht="17" thickBot="1" x14ac:dyDescent="0.25">
      <c r="C102" s="1" t="s">
        <v>2148</v>
      </c>
      <c r="E102" s="359" t="s">
        <v>2149</v>
      </c>
      <c r="F102" s="360"/>
    </row>
    <row r="103" spans="2:7" x14ac:dyDescent="0.2">
      <c r="E103" s="110" t="s">
        <v>2151</v>
      </c>
    </row>
    <row r="104" spans="2:7" ht="17" thickBot="1" x14ac:dyDescent="0.25"/>
    <row r="105" spans="2:7" x14ac:dyDescent="0.2">
      <c r="B105" s="18" t="s">
        <v>2152</v>
      </c>
      <c r="C105" s="100"/>
      <c r="D105" s="100"/>
      <c r="E105" s="100"/>
      <c r="F105" s="100"/>
      <c r="G105" s="19"/>
    </row>
    <row r="106" spans="2:7" x14ac:dyDescent="0.2">
      <c r="B106" s="106" t="s">
        <v>2153</v>
      </c>
      <c r="G106" s="107"/>
    </row>
    <row r="107" spans="2:7" ht="17" thickBot="1" x14ac:dyDescent="0.25">
      <c r="B107" s="20" t="s">
        <v>2154</v>
      </c>
      <c r="C107" s="103"/>
      <c r="D107" s="103"/>
      <c r="E107" s="103"/>
      <c r="F107" s="103"/>
      <c r="G107" s="21"/>
    </row>
    <row r="109" spans="2:7" x14ac:dyDescent="0.2">
      <c r="B109" s="1" t="s">
        <v>2155</v>
      </c>
    </row>
    <row r="110" spans="2:7" x14ac:dyDescent="0.2">
      <c r="B110" s="1" t="s">
        <v>2156</v>
      </c>
      <c r="D110" s="110">
        <v>0</v>
      </c>
      <c r="F110" s="1" t="s">
        <v>2158</v>
      </c>
    </row>
    <row r="111" spans="2:7" x14ac:dyDescent="0.2">
      <c r="B111" s="1" t="s">
        <v>2157</v>
      </c>
      <c r="D111" s="110">
        <v>25</v>
      </c>
      <c r="F111" s="1" t="s">
        <v>2159</v>
      </c>
    </row>
    <row r="122" spans="1:4" x14ac:dyDescent="0.2">
      <c r="A122" s="1" t="s">
        <v>1265</v>
      </c>
      <c r="B122" s="1">
        <v>400</v>
      </c>
    </row>
    <row r="123" spans="1:4" x14ac:dyDescent="0.2">
      <c r="A123" s="1" t="s">
        <v>2160</v>
      </c>
      <c r="B123" s="1">
        <v>300</v>
      </c>
      <c r="D123" s="1" t="s">
        <v>2113</v>
      </c>
    </row>
    <row r="124" spans="1:4" x14ac:dyDescent="0.2">
      <c r="A124" s="1" t="s">
        <v>2161</v>
      </c>
      <c r="B124" s="1">
        <f>B122-B123</f>
        <v>100</v>
      </c>
      <c r="D124" s="1" t="s">
        <v>2162</v>
      </c>
    </row>
    <row r="125" spans="1:4" x14ac:dyDescent="0.2">
      <c r="A125" s="1" t="s">
        <v>2163</v>
      </c>
      <c r="B125" s="1">
        <v>8</v>
      </c>
    </row>
    <row r="126" spans="1:4" x14ac:dyDescent="0.2">
      <c r="A126" s="1" t="s">
        <v>2164</v>
      </c>
    </row>
    <row r="128" spans="1:4" x14ac:dyDescent="0.2">
      <c r="A128" s="2" t="s">
        <v>2165</v>
      </c>
    </row>
    <row r="129" spans="1:5" x14ac:dyDescent="0.2">
      <c r="A129" s="1" t="s">
        <v>2166</v>
      </c>
      <c r="B129" s="1">
        <v>200</v>
      </c>
      <c r="D129" s="1" t="s">
        <v>2167</v>
      </c>
    </row>
    <row r="130" spans="1:5" x14ac:dyDescent="0.2">
      <c r="A130" s="1" t="s">
        <v>2169</v>
      </c>
      <c r="B130" s="1">
        <v>100</v>
      </c>
    </row>
    <row r="131" spans="1:5" x14ac:dyDescent="0.2">
      <c r="A131" s="1" t="s">
        <v>2168</v>
      </c>
      <c r="B131" s="1">
        <v>100</v>
      </c>
    </row>
    <row r="133" spans="1:5" x14ac:dyDescent="0.2">
      <c r="A133" s="1" t="s">
        <v>2170</v>
      </c>
      <c r="C133" s="1">
        <f>B129/8</f>
        <v>25</v>
      </c>
      <c r="E133" s="1" t="s">
        <v>2171</v>
      </c>
    </row>
    <row r="134" spans="1:5" x14ac:dyDescent="0.2">
      <c r="A134" s="1" t="s">
        <v>2172</v>
      </c>
      <c r="C134" s="1">
        <f>100/8*0.75</f>
        <v>9.375</v>
      </c>
      <c r="E134" s="1" t="s">
        <v>2173</v>
      </c>
    </row>
    <row r="135" spans="1:5" ht="17" thickBot="1" x14ac:dyDescent="0.25">
      <c r="A135" s="1" t="s">
        <v>2174</v>
      </c>
      <c r="C135" s="1">
        <f>100/8*0.5</f>
        <v>6.25</v>
      </c>
      <c r="E135" s="1" t="s">
        <v>2175</v>
      </c>
    </row>
    <row r="136" spans="1:5" ht="17" thickBot="1" x14ac:dyDescent="0.25">
      <c r="A136" s="110" t="s">
        <v>2176</v>
      </c>
      <c r="B136" s="110"/>
      <c r="C136" s="361">
        <f>SUM(C133:C135)</f>
        <v>40.625</v>
      </c>
    </row>
    <row r="137" spans="1:5" ht="17" thickBot="1" x14ac:dyDescent="0.25"/>
    <row r="138" spans="1:5" x14ac:dyDescent="0.2">
      <c r="A138" s="362" t="s">
        <v>2018</v>
      </c>
      <c r="B138" s="363">
        <f>C136</f>
        <v>40.625</v>
      </c>
    </row>
    <row r="139" spans="1:5" ht="17" thickBot="1" x14ac:dyDescent="0.25">
      <c r="A139" s="364" t="s">
        <v>2032</v>
      </c>
      <c r="B139" s="365">
        <f>B138</f>
        <v>40.625</v>
      </c>
    </row>
    <row r="141" spans="1:5" x14ac:dyDescent="0.2">
      <c r="A141" s="2" t="s">
        <v>2177</v>
      </c>
    </row>
    <row r="142" spans="1:5" x14ac:dyDescent="0.2">
      <c r="A142" s="1" t="s">
        <v>2178</v>
      </c>
    </row>
    <row r="144" spans="1:5" x14ac:dyDescent="0.2">
      <c r="A144" s="1" t="s">
        <v>2179</v>
      </c>
      <c r="B144" s="46">
        <v>100</v>
      </c>
    </row>
    <row r="145" spans="1:5" x14ac:dyDescent="0.2">
      <c r="A145" s="1" t="s">
        <v>2180</v>
      </c>
      <c r="B145" s="368">
        <f>B144/8*1.75</f>
        <v>21.875</v>
      </c>
      <c r="E145" s="1" t="s">
        <v>2181</v>
      </c>
    </row>
    <row r="146" spans="1:5" x14ac:dyDescent="0.2">
      <c r="A146" s="1" t="s">
        <v>2182</v>
      </c>
      <c r="B146" s="150">
        <f>B144-B145</f>
        <v>78.125</v>
      </c>
    </row>
    <row r="148" spans="1:5" x14ac:dyDescent="0.2">
      <c r="A148" s="1" t="s">
        <v>2183</v>
      </c>
    </row>
    <row r="149" spans="1:5" x14ac:dyDescent="0.2">
      <c r="A149" s="1" t="s">
        <v>2184</v>
      </c>
    </row>
    <row r="151" spans="1:5" x14ac:dyDescent="0.2">
      <c r="A151" s="1" t="s">
        <v>960</v>
      </c>
      <c r="B151" s="366">
        <f>B152+B153</f>
        <v>64.125</v>
      </c>
      <c r="E151" s="1" t="s">
        <v>2185</v>
      </c>
    </row>
    <row r="152" spans="1:5" x14ac:dyDescent="0.2">
      <c r="A152" s="1" t="s">
        <v>2040</v>
      </c>
      <c r="B152" s="6">
        <f>B146</f>
        <v>78.125</v>
      </c>
      <c r="E152" s="1" t="s">
        <v>2186</v>
      </c>
    </row>
    <row r="153" spans="1:5" x14ac:dyDescent="0.2">
      <c r="A153" s="1" t="s">
        <v>748</v>
      </c>
      <c r="B153" s="369">
        <v>-14</v>
      </c>
    </row>
    <row r="155" spans="1:5" x14ac:dyDescent="0.2">
      <c r="A155" s="1" t="s">
        <v>2187</v>
      </c>
    </row>
    <row r="157" spans="1:5" x14ac:dyDescent="0.2">
      <c r="A157" s="1" t="s">
        <v>2188</v>
      </c>
      <c r="B157" s="367">
        <f>B151</f>
        <v>64.125</v>
      </c>
    </row>
    <row r="158" spans="1:5" x14ac:dyDescent="0.2">
      <c r="A158" s="1" t="s">
        <v>2189</v>
      </c>
      <c r="B158" s="8">
        <f>B144</f>
        <v>100</v>
      </c>
    </row>
    <row r="159" spans="1:5" x14ac:dyDescent="0.2">
      <c r="A159" s="1" t="s">
        <v>2190</v>
      </c>
      <c r="B159" s="33">
        <f>B145</f>
        <v>21.875</v>
      </c>
    </row>
    <row r="160" spans="1:5" x14ac:dyDescent="0.2">
      <c r="A160" s="1" t="s">
        <v>2191</v>
      </c>
      <c r="B160" s="370">
        <f>-B153</f>
        <v>14</v>
      </c>
    </row>
    <row r="162" spans="1:4" x14ac:dyDescent="0.2">
      <c r="A162" s="1" t="s">
        <v>2192</v>
      </c>
    </row>
    <row r="163" spans="1:4" x14ac:dyDescent="0.2">
      <c r="A163" s="1" t="s">
        <v>2194</v>
      </c>
      <c r="B163" s="110">
        <f>500+B157</f>
        <v>564.125</v>
      </c>
      <c r="D163" s="1" t="s">
        <v>2193</v>
      </c>
    </row>
    <row r="164" spans="1:4" x14ac:dyDescent="0.2">
      <c r="A164" s="1" t="s">
        <v>2196</v>
      </c>
      <c r="B164" s="110">
        <v>300</v>
      </c>
      <c r="D164" s="1" t="s">
        <v>2195</v>
      </c>
    </row>
    <row r="165" spans="1:4" x14ac:dyDescent="0.2">
      <c r="A165" s="1" t="s">
        <v>2197</v>
      </c>
      <c r="B165" s="110">
        <f>B160</f>
        <v>14</v>
      </c>
    </row>
    <row r="166" spans="1:4" x14ac:dyDescent="0.2">
      <c r="A166" s="1" t="s">
        <v>2198</v>
      </c>
      <c r="B166" s="110">
        <f>37.5+40.625-21.875</f>
        <v>56.25</v>
      </c>
      <c r="D166" s="1" t="s">
        <v>2199</v>
      </c>
    </row>
    <row r="168" spans="1:4" x14ac:dyDescent="0.2">
      <c r="A168" s="1" t="s">
        <v>2200</v>
      </c>
    </row>
    <row r="169" spans="1:4" x14ac:dyDescent="0.2">
      <c r="A169" s="1" t="s">
        <v>2201</v>
      </c>
    </row>
    <row r="179" spans="1:5" x14ac:dyDescent="0.2">
      <c r="A179" s="1" t="s">
        <v>2204</v>
      </c>
      <c r="B179" s="1">
        <v>80</v>
      </c>
      <c r="C179" s="1" t="s">
        <v>1024</v>
      </c>
    </row>
    <row r="180" spans="1:5" x14ac:dyDescent="0.2">
      <c r="A180" s="1" t="s">
        <v>2205</v>
      </c>
      <c r="B180" s="1">
        <v>4</v>
      </c>
    </row>
    <row r="182" spans="1:5" x14ac:dyDescent="0.2">
      <c r="A182" s="1" t="s">
        <v>2206</v>
      </c>
      <c r="B182" s="374">
        <f>(80-10)/4*7/12</f>
        <v>10.208333333333334</v>
      </c>
      <c r="E182" s="1" t="s">
        <v>2207</v>
      </c>
    </row>
    <row r="183" spans="1:5" ht="17" thickBot="1" x14ac:dyDescent="0.25"/>
    <row r="184" spans="1:5" x14ac:dyDescent="0.2">
      <c r="A184" s="376" t="s">
        <v>2018</v>
      </c>
      <c r="B184" s="377">
        <f>B182</f>
        <v>10.208333333333334</v>
      </c>
    </row>
    <row r="185" spans="1:5" ht="17" thickBot="1" x14ac:dyDescent="0.25">
      <c r="A185" s="378" t="s">
        <v>2208</v>
      </c>
      <c r="B185" s="379">
        <f>B184</f>
        <v>10.208333333333334</v>
      </c>
    </row>
    <row r="187" spans="1:5" x14ac:dyDescent="0.2">
      <c r="A187" s="1" t="s">
        <v>2209</v>
      </c>
    </row>
    <row r="188" spans="1:5" x14ac:dyDescent="0.2">
      <c r="A188" s="110" t="s">
        <v>2210</v>
      </c>
      <c r="B188" s="375">
        <f>40.625+B184</f>
        <v>50.833333333333336</v>
      </c>
      <c r="E188" s="1" t="s">
        <v>2211</v>
      </c>
    </row>
    <row r="189" spans="1:5" x14ac:dyDescent="0.2">
      <c r="A189" s="110" t="s">
        <v>2021</v>
      </c>
      <c r="B189" s="375">
        <f>B185</f>
        <v>10.208333333333334</v>
      </c>
    </row>
    <row r="196" spans="1:4" x14ac:dyDescent="0.2">
      <c r="A196" s="1" t="s">
        <v>2212</v>
      </c>
      <c r="B196" s="1">
        <v>8</v>
      </c>
    </row>
    <row r="197" spans="1:4" x14ac:dyDescent="0.2">
      <c r="A197" s="1" t="s">
        <v>2213</v>
      </c>
      <c r="B197" s="1">
        <v>8</v>
      </c>
    </row>
    <row r="199" spans="1:4" x14ac:dyDescent="0.2">
      <c r="A199" s="110" t="s">
        <v>2214</v>
      </c>
      <c r="B199" s="110">
        <f>75+8</f>
        <v>83</v>
      </c>
      <c r="D199" s="1" t="s">
        <v>2215</v>
      </c>
    </row>
    <row r="200" spans="1:4" x14ac:dyDescent="0.2">
      <c r="A200" s="110" t="s">
        <v>2216</v>
      </c>
      <c r="B200" s="110">
        <f>B197</f>
        <v>8</v>
      </c>
      <c r="C200" s="1" t="s">
        <v>469</v>
      </c>
    </row>
    <row r="203" spans="1:4" x14ac:dyDescent="0.2">
      <c r="A203" s="2" t="s">
        <v>2219</v>
      </c>
    </row>
    <row r="205" spans="1:4" x14ac:dyDescent="0.2">
      <c r="A205" s="1" t="s">
        <v>2220</v>
      </c>
    </row>
    <row r="207" spans="1:4" x14ac:dyDescent="0.2">
      <c r="A207" s="1" t="s">
        <v>75</v>
      </c>
      <c r="B207" s="6">
        <v>950</v>
      </c>
    </row>
    <row r="208" spans="1:4" x14ac:dyDescent="0.2">
      <c r="A208" s="1" t="s">
        <v>102</v>
      </c>
      <c r="B208" s="6">
        <f>-(300+60-120)</f>
        <v>-240</v>
      </c>
      <c r="D208" s="1" t="s">
        <v>2223</v>
      </c>
    </row>
    <row r="209" spans="1:5" x14ac:dyDescent="0.2">
      <c r="A209" s="1" t="s">
        <v>78</v>
      </c>
      <c r="B209" s="329">
        <f>B207+B208</f>
        <v>710</v>
      </c>
    </row>
    <row r="210" spans="1:5" x14ac:dyDescent="0.2">
      <c r="A210" s="1" t="s">
        <v>2069</v>
      </c>
      <c r="B210" s="6">
        <f>-(45+93)</f>
        <v>-138</v>
      </c>
      <c r="C210" s="1" t="s">
        <v>2224</v>
      </c>
    </row>
    <row r="211" spans="1:5" x14ac:dyDescent="0.2">
      <c r="A211" s="1" t="s">
        <v>2070</v>
      </c>
      <c r="B211" s="231">
        <f>-(G5+G26+G28+G29+G34)</f>
        <v>-171.83333333333334</v>
      </c>
    </row>
    <row r="212" spans="1:5" x14ac:dyDescent="0.2">
      <c r="A212" s="1" t="s">
        <v>2221</v>
      </c>
      <c r="B212" s="6">
        <f>-G35</f>
        <v>-14</v>
      </c>
      <c r="C212" s="1" t="s">
        <v>748</v>
      </c>
    </row>
    <row r="213" spans="1:5" x14ac:dyDescent="0.2">
      <c r="A213" s="1" t="s">
        <v>1528</v>
      </c>
      <c r="B213" s="382">
        <f>B209+B210+B211+B212</f>
        <v>386.16666666666663</v>
      </c>
    </row>
    <row r="214" spans="1:5" x14ac:dyDescent="0.2">
      <c r="A214" s="1" t="s">
        <v>1212</v>
      </c>
      <c r="B214" s="6">
        <f>-(G23)</f>
        <v>-83</v>
      </c>
    </row>
    <row r="215" spans="1:5" x14ac:dyDescent="0.2">
      <c r="A215" s="1" t="s">
        <v>1213</v>
      </c>
      <c r="B215" s="6">
        <f>F19+F24</f>
        <v>35</v>
      </c>
      <c r="C215" s="1" t="s">
        <v>2225</v>
      </c>
    </row>
    <row r="216" spans="1:5" x14ac:dyDescent="0.2">
      <c r="A216" s="1" t="s">
        <v>2222</v>
      </c>
      <c r="B216" s="382">
        <f>SUM(B213:B215)</f>
        <v>338.16666666666663</v>
      </c>
    </row>
    <row r="218" spans="1:5" x14ac:dyDescent="0.2">
      <c r="A218" s="1" t="s">
        <v>2226</v>
      </c>
    </row>
    <row r="220" spans="1:5" x14ac:dyDescent="0.2">
      <c r="A220" s="1" t="s">
        <v>11</v>
      </c>
      <c r="E220" s="1" t="s">
        <v>1066</v>
      </c>
    </row>
    <row r="222" spans="1:5" x14ac:dyDescent="0.2">
      <c r="A222" s="1" t="s">
        <v>1455</v>
      </c>
      <c r="E222" s="1" t="s">
        <v>1458</v>
      </c>
    </row>
    <row r="225" spans="1:7" x14ac:dyDescent="0.2">
      <c r="A225" s="1" t="s">
        <v>140</v>
      </c>
      <c r="B225" s="1">
        <f>C4+C7</f>
        <v>714.125</v>
      </c>
      <c r="E225" s="1" t="s">
        <v>27</v>
      </c>
      <c r="G225" s="1">
        <f>D12</f>
        <v>180</v>
      </c>
    </row>
    <row r="226" spans="1:7" x14ac:dyDescent="0.2">
      <c r="A226" s="1" t="s">
        <v>19</v>
      </c>
      <c r="B226" s="1">
        <f>C6</f>
        <v>600</v>
      </c>
      <c r="E226" s="1" t="s">
        <v>21</v>
      </c>
      <c r="G226" s="1">
        <f>D10</f>
        <v>70</v>
      </c>
    </row>
    <row r="227" spans="1:7" ht="17" thickBot="1" x14ac:dyDescent="0.25">
      <c r="A227" s="1" t="s">
        <v>2227</v>
      </c>
      <c r="B227" s="1">
        <f>C9</f>
        <v>100</v>
      </c>
      <c r="E227" s="110" t="s">
        <v>146</v>
      </c>
      <c r="F227" s="110"/>
      <c r="G227" s="110">
        <v>8</v>
      </c>
    </row>
    <row r="228" spans="1:7" ht="17" thickBot="1" x14ac:dyDescent="0.25">
      <c r="A228" s="1" t="s">
        <v>68</v>
      </c>
      <c r="B228" s="1">
        <f>C30</f>
        <v>120</v>
      </c>
      <c r="E228" s="1" t="s">
        <v>2230</v>
      </c>
      <c r="G228" s="22">
        <f>G225+G226+G227</f>
        <v>258</v>
      </c>
    </row>
    <row r="229" spans="1:7" x14ac:dyDescent="0.2">
      <c r="A229" s="1" t="s">
        <v>1544</v>
      </c>
      <c r="B229" s="1">
        <f>SUM(B225:B228)</f>
        <v>1534.125</v>
      </c>
    </row>
    <row r="230" spans="1:7" x14ac:dyDescent="0.2">
      <c r="E230" s="1" t="s">
        <v>1545</v>
      </c>
    </row>
    <row r="231" spans="1:7" ht="17" thickBot="1" x14ac:dyDescent="0.25">
      <c r="E231" s="1" t="s">
        <v>1506</v>
      </c>
      <c r="G231" s="1">
        <f>D22</f>
        <v>100</v>
      </c>
    </row>
    <row r="232" spans="1:7" ht="17" thickBot="1" x14ac:dyDescent="0.25">
      <c r="A232" s="1" t="s">
        <v>1456</v>
      </c>
      <c r="E232" s="1" t="s">
        <v>2231</v>
      </c>
      <c r="G232" s="22">
        <f>G231</f>
        <v>100</v>
      </c>
    </row>
    <row r="233" spans="1:7" x14ac:dyDescent="0.2">
      <c r="A233" s="1" t="s">
        <v>2228</v>
      </c>
      <c r="B233" s="373">
        <f>C17+C20+C18+C36</f>
        <v>313.54166666666669</v>
      </c>
    </row>
    <row r="234" spans="1:7" x14ac:dyDescent="0.2">
      <c r="A234" s="1" t="s">
        <v>2229</v>
      </c>
      <c r="B234" s="1">
        <f>C21</f>
        <v>95</v>
      </c>
      <c r="E234" s="1" t="s">
        <v>131</v>
      </c>
    </row>
    <row r="235" spans="1:7" x14ac:dyDescent="0.2">
      <c r="A235" s="1" t="s">
        <v>1183</v>
      </c>
      <c r="B235" s="373">
        <f>B233+B234</f>
        <v>408.54166666666669</v>
      </c>
      <c r="E235" s="1" t="s">
        <v>29</v>
      </c>
      <c r="G235" s="1">
        <f>E13</f>
        <v>100</v>
      </c>
    </row>
    <row r="236" spans="1:7" ht="17" thickBot="1" x14ac:dyDescent="0.25">
      <c r="E236" s="1" t="s">
        <v>1188</v>
      </c>
      <c r="G236" s="206">
        <f>G242-G228-G232-G235</f>
        <v>1484.6666666666667</v>
      </c>
    </row>
    <row r="237" spans="1:7" ht="17" thickBot="1" x14ac:dyDescent="0.25">
      <c r="E237" s="1" t="s">
        <v>281</v>
      </c>
      <c r="G237" s="239">
        <f>G235+G236</f>
        <v>1584.6666666666667</v>
      </c>
    </row>
    <row r="238" spans="1:7" x14ac:dyDescent="0.2">
      <c r="G238" s="87"/>
    </row>
    <row r="241" spans="1:7" ht="17" thickBot="1" x14ac:dyDescent="0.25"/>
    <row r="242" spans="1:7" ht="17" thickBot="1" x14ac:dyDescent="0.25">
      <c r="A242" s="1" t="s">
        <v>1457</v>
      </c>
      <c r="B242" s="373">
        <f>B229+B235</f>
        <v>1942.6666666666667</v>
      </c>
      <c r="E242" s="1" t="s">
        <v>1193</v>
      </c>
      <c r="G242" s="383">
        <f>B242</f>
        <v>1942.6666666666667</v>
      </c>
    </row>
  </sheetData>
  <mergeCells count="2">
    <mergeCell ref="C42:F42"/>
    <mergeCell ref="A40:C40"/>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48DC11-3F91-3047-9C45-5B2942B2C877}">
  <dimension ref="A1:H61"/>
  <sheetViews>
    <sheetView rightToLeft="1" topLeftCell="A50" zoomScale="289" zoomScaleNormal="229" zoomScaleSheetLayoutView="331" workbookViewId="0">
      <selection activeCell="G23" sqref="G23"/>
    </sheetView>
  </sheetViews>
  <sheetFormatPr baseColWidth="10" defaultRowHeight="16" x14ac:dyDescent="0.2"/>
  <cols>
    <col min="1" max="16384" width="10.83203125" style="1"/>
  </cols>
  <sheetData>
    <row r="1" spans="1:8" x14ac:dyDescent="0.2">
      <c r="A1" s="7" t="s">
        <v>68</v>
      </c>
      <c r="B1" s="7"/>
      <c r="C1" s="7"/>
      <c r="D1" s="7"/>
      <c r="E1" s="7"/>
      <c r="F1" s="7"/>
      <c r="G1" s="7"/>
      <c r="H1" s="7"/>
    </row>
    <row r="2" spans="1:8" x14ac:dyDescent="0.2">
      <c r="A2" s="1" t="s">
        <v>69</v>
      </c>
    </row>
    <row r="3" spans="1:8" x14ac:dyDescent="0.2">
      <c r="A3" s="1" t="s">
        <v>70</v>
      </c>
    </row>
    <row r="4" spans="1:8" x14ac:dyDescent="0.2">
      <c r="A4" s="1" t="s">
        <v>71</v>
      </c>
    </row>
    <row r="6" spans="1:8" x14ac:dyDescent="0.2">
      <c r="A6" s="7" t="s">
        <v>32</v>
      </c>
      <c r="B6" s="3"/>
      <c r="C6" s="3"/>
      <c r="D6" s="3"/>
      <c r="E6" s="3"/>
      <c r="F6" s="3"/>
      <c r="G6" s="3"/>
      <c r="H6" s="3"/>
    </row>
    <row r="7" spans="1:8" x14ac:dyDescent="0.2">
      <c r="A7" s="1" t="s">
        <v>33</v>
      </c>
    </row>
    <row r="8" spans="1:8" x14ac:dyDescent="0.2">
      <c r="A8" s="1" t="s">
        <v>34</v>
      </c>
    </row>
    <row r="9" spans="1:8" x14ac:dyDescent="0.2">
      <c r="A9" s="1" t="s">
        <v>36</v>
      </c>
    </row>
    <row r="10" spans="1:8" x14ac:dyDescent="0.2">
      <c r="A10" s="1" t="s">
        <v>35</v>
      </c>
    </row>
    <row r="12" spans="1:8" x14ac:dyDescent="0.2">
      <c r="A12" s="7" t="s">
        <v>37</v>
      </c>
      <c r="B12" s="3"/>
      <c r="C12" s="3"/>
      <c r="D12" s="3"/>
      <c r="E12" s="3"/>
      <c r="F12" s="3"/>
      <c r="G12" s="3"/>
      <c r="H12" s="3"/>
    </row>
    <row r="13" spans="1:8" x14ac:dyDescent="0.2">
      <c r="A13" s="1" t="s">
        <v>38</v>
      </c>
    </row>
    <row r="14" spans="1:8" x14ac:dyDescent="0.2">
      <c r="A14" s="1" t="s">
        <v>39</v>
      </c>
    </row>
    <row r="15" spans="1:8" x14ac:dyDescent="0.2">
      <c r="A15" s="1" t="s">
        <v>40</v>
      </c>
    </row>
    <row r="16" spans="1:8" x14ac:dyDescent="0.2">
      <c r="A16" s="1" t="s">
        <v>41</v>
      </c>
    </row>
    <row r="17" spans="1:8" x14ac:dyDescent="0.2">
      <c r="A17" s="1" t="s">
        <v>42</v>
      </c>
    </row>
    <row r="19" spans="1:8" x14ac:dyDescent="0.2">
      <c r="A19" s="7" t="s">
        <v>45</v>
      </c>
      <c r="B19" s="3"/>
      <c r="C19" s="3"/>
      <c r="D19" s="3"/>
      <c r="E19" s="3"/>
      <c r="F19" s="3"/>
      <c r="G19" s="3"/>
      <c r="H19" s="3"/>
    </row>
    <row r="20" spans="1:8" x14ac:dyDescent="0.2">
      <c r="A20" s="1" t="s">
        <v>43</v>
      </c>
    </row>
    <row r="21" spans="1:8" x14ac:dyDescent="0.2">
      <c r="A21" s="1" t="s">
        <v>44</v>
      </c>
    </row>
    <row r="23" spans="1:8" x14ac:dyDescent="0.2">
      <c r="A23" s="8" t="s">
        <v>46</v>
      </c>
    </row>
    <row r="25" spans="1:8" x14ac:dyDescent="0.2">
      <c r="A25" s="1" t="s">
        <v>47</v>
      </c>
    </row>
    <row r="26" spans="1:8" x14ac:dyDescent="0.2">
      <c r="A26" s="1" t="s">
        <v>2317</v>
      </c>
    </row>
    <row r="27" spans="1:8" x14ac:dyDescent="0.2">
      <c r="A27" s="1" t="s">
        <v>48</v>
      </c>
    </row>
    <row r="29" spans="1:8" x14ac:dyDescent="0.2">
      <c r="A29" s="1" t="s">
        <v>49</v>
      </c>
    </row>
    <row r="30" spans="1:8" x14ac:dyDescent="0.2">
      <c r="A30" s="1" t="s">
        <v>50</v>
      </c>
    </row>
    <row r="32" spans="1:8" x14ac:dyDescent="0.2">
      <c r="A32" s="123" t="s">
        <v>51</v>
      </c>
    </row>
    <row r="33" spans="1:8" x14ac:dyDescent="0.2">
      <c r="A33" s="1" t="s">
        <v>52</v>
      </c>
    </row>
    <row r="35" spans="1:8" x14ac:dyDescent="0.2">
      <c r="A35" s="7" t="s">
        <v>53</v>
      </c>
      <c r="B35" s="3"/>
      <c r="C35" s="3"/>
      <c r="D35" s="3"/>
      <c r="E35" s="3"/>
      <c r="F35" s="3"/>
      <c r="G35" s="3"/>
      <c r="H35" s="3"/>
    </row>
    <row r="36" spans="1:8" x14ac:dyDescent="0.2">
      <c r="A36" s="1" t="s">
        <v>54</v>
      </c>
    </row>
    <row r="37" spans="1:8" x14ac:dyDescent="0.2">
      <c r="A37" s="1" t="s">
        <v>55</v>
      </c>
    </row>
    <row r="38" spans="1:8" x14ac:dyDescent="0.2">
      <c r="A38" s="1" t="s">
        <v>56</v>
      </c>
    </row>
    <row r="39" spans="1:8" x14ac:dyDescent="0.2">
      <c r="A39" s="1" t="s">
        <v>57</v>
      </c>
    </row>
    <row r="41" spans="1:8" x14ac:dyDescent="0.2">
      <c r="A41" s="7" t="s">
        <v>58</v>
      </c>
      <c r="B41" s="3"/>
      <c r="C41" s="3"/>
      <c r="D41" s="3"/>
      <c r="E41" s="3"/>
      <c r="F41" s="3"/>
      <c r="G41" s="3"/>
      <c r="H41" s="3"/>
    </row>
    <row r="42" spans="1:8" x14ac:dyDescent="0.2">
      <c r="A42" s="1" t="s">
        <v>59</v>
      </c>
    </row>
    <row r="43" spans="1:8" x14ac:dyDescent="0.2">
      <c r="A43" s="1" t="s">
        <v>60</v>
      </c>
    </row>
    <row r="45" spans="1:8" x14ac:dyDescent="0.2">
      <c r="A45" s="7" t="s">
        <v>61</v>
      </c>
      <c r="B45" s="3"/>
      <c r="C45" s="3"/>
      <c r="D45" s="3"/>
      <c r="E45" s="3"/>
      <c r="F45" s="3"/>
      <c r="G45" s="3"/>
      <c r="H45" s="3"/>
    </row>
    <row r="46" spans="1:8" x14ac:dyDescent="0.2">
      <c r="A46" s="1" t="s">
        <v>62</v>
      </c>
    </row>
    <row r="48" spans="1:8" x14ac:dyDescent="0.2">
      <c r="A48" s="7" t="s">
        <v>63</v>
      </c>
      <c r="B48" s="7"/>
      <c r="C48" s="7"/>
      <c r="D48" s="7"/>
      <c r="E48" s="7"/>
      <c r="F48" s="7"/>
      <c r="G48" s="7"/>
      <c r="H48" s="7"/>
    </row>
    <row r="49" spans="1:8" x14ac:dyDescent="0.2">
      <c r="A49" s="1" t="s">
        <v>65</v>
      </c>
    </row>
    <row r="50" spans="1:8" x14ac:dyDescent="0.2">
      <c r="A50" s="1" t="s">
        <v>64</v>
      </c>
    </row>
    <row r="52" spans="1:8" x14ac:dyDescent="0.2">
      <c r="A52" s="7" t="s">
        <v>66</v>
      </c>
      <c r="B52" s="7"/>
      <c r="C52" s="7"/>
      <c r="D52" s="7"/>
      <c r="E52" s="7"/>
      <c r="F52" s="7"/>
      <c r="G52" s="7"/>
      <c r="H52" s="7"/>
    </row>
    <row r="53" spans="1:8" x14ac:dyDescent="0.2">
      <c r="A53" s="1" t="s">
        <v>67</v>
      </c>
    </row>
    <row r="55" spans="1:8" x14ac:dyDescent="0.2">
      <c r="A55" s="7" t="s">
        <v>1488</v>
      </c>
      <c r="B55" s="7"/>
      <c r="C55" s="7"/>
      <c r="D55" s="7"/>
      <c r="E55" s="7"/>
      <c r="F55" s="7"/>
      <c r="G55" s="7"/>
      <c r="H55" s="7"/>
    </row>
    <row r="56" spans="1:8" x14ac:dyDescent="0.2">
      <c r="A56" s="1" t="s">
        <v>1489</v>
      </c>
    </row>
    <row r="57" spans="1:8" x14ac:dyDescent="0.2">
      <c r="A57" s="1" t="s">
        <v>1490</v>
      </c>
    </row>
    <row r="59" spans="1:8" x14ac:dyDescent="0.2">
      <c r="A59" s="7" t="s">
        <v>1491</v>
      </c>
      <c r="B59" s="7"/>
      <c r="C59" s="7"/>
      <c r="D59" s="7"/>
      <c r="E59" s="7"/>
      <c r="F59" s="7"/>
      <c r="G59" s="7"/>
      <c r="H59" s="7"/>
    </row>
    <row r="60" spans="1:8" x14ac:dyDescent="0.2">
      <c r="A60" s="1" t="s">
        <v>1492</v>
      </c>
    </row>
    <row r="61" spans="1:8" x14ac:dyDescent="0.2">
      <c r="A61" s="1" t="s">
        <v>1493</v>
      </c>
    </row>
  </sheetData>
  <pageMargins left="0.7" right="0.7" top="0.75" bottom="0.75" header="0.3" footer="0.3"/>
  <pageSetup paperSize="9" scale="95" orientation="portrait" horizontalDpi="0" verticalDpi="0"/>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9C328E-5EE4-D145-B4A4-9DCD16EE5E16}">
  <dimension ref="A1:H79"/>
  <sheetViews>
    <sheetView rightToLeft="1" zoomScale="200" workbookViewId="0">
      <selection activeCell="C26" sqref="C26"/>
    </sheetView>
  </sheetViews>
  <sheetFormatPr baseColWidth="10" defaultRowHeight="16" x14ac:dyDescent="0.2"/>
  <cols>
    <col min="1" max="1" width="20.83203125" style="1" customWidth="1"/>
    <col min="2" max="16384" width="10.83203125" style="1"/>
  </cols>
  <sheetData>
    <row r="1" spans="1:8" x14ac:dyDescent="0.2">
      <c r="A1" s="3" t="s">
        <v>1494</v>
      </c>
      <c r="B1" s="3"/>
      <c r="C1" s="3"/>
      <c r="D1" s="3"/>
      <c r="E1" s="3"/>
      <c r="F1" s="3"/>
      <c r="G1" s="3"/>
      <c r="H1" s="3"/>
    </row>
    <row r="3" spans="1:8" x14ac:dyDescent="0.2">
      <c r="A3" s="1" t="s">
        <v>1495</v>
      </c>
    </row>
    <row r="4" spans="1:8" x14ac:dyDescent="0.2">
      <c r="A4" s="1" t="s">
        <v>1496</v>
      </c>
    </row>
    <row r="6" spans="1:8" x14ac:dyDescent="0.2">
      <c r="A6" s="1" t="s">
        <v>1516</v>
      </c>
    </row>
    <row r="7" spans="1:8" x14ac:dyDescent="0.2">
      <c r="A7" s="1" t="s">
        <v>1517</v>
      </c>
    </row>
    <row r="9" spans="1:8" ht="34" x14ac:dyDescent="0.2">
      <c r="A9" s="1" t="s">
        <v>14</v>
      </c>
      <c r="B9" s="30" t="s">
        <v>1497</v>
      </c>
      <c r="C9" s="1" t="s">
        <v>11</v>
      </c>
      <c r="D9" s="1" t="s">
        <v>12</v>
      </c>
      <c r="E9" s="1" t="s">
        <v>131</v>
      </c>
      <c r="F9" s="1" t="s">
        <v>9</v>
      </c>
      <c r="G9" s="1" t="s">
        <v>10</v>
      </c>
    </row>
    <row r="10" spans="1:8" x14ac:dyDescent="0.2">
      <c r="A10" s="1" t="s">
        <v>1498</v>
      </c>
      <c r="B10" s="23">
        <v>19255</v>
      </c>
    </row>
    <row r="11" spans="1:8" x14ac:dyDescent="0.2">
      <c r="A11" s="1" t="s">
        <v>17</v>
      </c>
      <c r="B11" s="23">
        <v>15401</v>
      </c>
    </row>
    <row r="12" spans="1:8" x14ac:dyDescent="0.2">
      <c r="A12" s="1" t="s">
        <v>1499</v>
      </c>
      <c r="B12" s="23">
        <v>8208</v>
      </c>
    </row>
    <row r="13" spans="1:8" x14ac:dyDescent="0.2">
      <c r="A13" s="1" t="s">
        <v>1500</v>
      </c>
      <c r="B13" s="23">
        <v>6681</v>
      </c>
    </row>
    <row r="14" spans="1:8" x14ac:dyDescent="0.2">
      <c r="A14" s="1" t="s">
        <v>21</v>
      </c>
      <c r="B14" s="23">
        <v>16465</v>
      </c>
    </row>
    <row r="15" spans="1:8" x14ac:dyDescent="0.2">
      <c r="A15" s="1" t="s">
        <v>1501</v>
      </c>
      <c r="B15" s="23">
        <v>12680</v>
      </c>
    </row>
    <row r="16" spans="1:8" x14ac:dyDescent="0.2">
      <c r="A16" s="1" t="s">
        <v>1502</v>
      </c>
      <c r="B16" s="23">
        <v>6660</v>
      </c>
    </row>
    <row r="17" spans="1:2" x14ac:dyDescent="0.2">
      <c r="A17" s="1" t="s">
        <v>1473</v>
      </c>
      <c r="B17" s="23">
        <v>14439</v>
      </c>
    </row>
    <row r="18" spans="1:2" x14ac:dyDescent="0.2">
      <c r="A18" s="1" t="s">
        <v>19</v>
      </c>
      <c r="B18" s="23">
        <v>19591</v>
      </c>
    </row>
    <row r="19" spans="1:2" x14ac:dyDescent="0.2">
      <c r="A19" s="1" t="s">
        <v>1503</v>
      </c>
      <c r="B19" s="23">
        <v>3612</v>
      </c>
    </row>
    <row r="20" spans="1:2" x14ac:dyDescent="0.2">
      <c r="A20" s="1" t="s">
        <v>29</v>
      </c>
      <c r="B20" s="23">
        <v>6237</v>
      </c>
    </row>
    <row r="21" spans="1:2" x14ac:dyDescent="0.2">
      <c r="A21" s="1" t="s">
        <v>20</v>
      </c>
      <c r="B21" s="23">
        <v>2015</v>
      </c>
    </row>
    <row r="22" spans="1:2" x14ac:dyDescent="0.2">
      <c r="A22" s="1" t="s">
        <v>1504</v>
      </c>
      <c r="B22" s="23">
        <v>3012</v>
      </c>
    </row>
    <row r="23" spans="1:2" x14ac:dyDescent="0.2">
      <c r="A23" s="1" t="s">
        <v>1505</v>
      </c>
      <c r="B23" s="23">
        <v>1541</v>
      </c>
    </row>
    <row r="24" spans="1:2" x14ac:dyDescent="0.2">
      <c r="A24" s="1" t="s">
        <v>1506</v>
      </c>
      <c r="B24" s="23">
        <v>1518</v>
      </c>
    </row>
    <row r="25" spans="1:2" x14ac:dyDescent="0.2">
      <c r="A25" s="1" t="s">
        <v>1507</v>
      </c>
      <c r="B25" s="23">
        <v>11049</v>
      </c>
    </row>
    <row r="26" spans="1:2" x14ac:dyDescent="0.2">
      <c r="A26" s="1" t="s">
        <v>1508</v>
      </c>
      <c r="B26" s="23">
        <v>6827</v>
      </c>
    </row>
    <row r="27" spans="1:2" x14ac:dyDescent="0.2">
      <c r="A27" s="1" t="s">
        <v>1188</v>
      </c>
      <c r="B27" s="23">
        <v>10447</v>
      </c>
    </row>
    <row r="28" spans="1:2" x14ac:dyDescent="0.2">
      <c r="A28" s="1" t="s">
        <v>24</v>
      </c>
      <c r="B28" s="23">
        <v>17354</v>
      </c>
    </row>
    <row r="29" spans="1:2" x14ac:dyDescent="0.2">
      <c r="A29" s="1" t="s">
        <v>1509</v>
      </c>
      <c r="B29" s="23">
        <v>19444</v>
      </c>
    </row>
    <row r="30" spans="1:2" x14ac:dyDescent="0.2">
      <c r="A30" s="1" t="s">
        <v>1510</v>
      </c>
      <c r="B30" s="23">
        <v>2953</v>
      </c>
    </row>
    <row r="31" spans="1:2" x14ac:dyDescent="0.2">
      <c r="A31" s="1" t="s">
        <v>1511</v>
      </c>
      <c r="B31" s="23">
        <v>5401</v>
      </c>
    </row>
    <row r="32" spans="1:2" x14ac:dyDescent="0.2">
      <c r="A32" s="1" t="s">
        <v>1475</v>
      </c>
      <c r="B32" s="23">
        <v>6710</v>
      </c>
    </row>
    <row r="33" spans="1:7" x14ac:dyDescent="0.2">
      <c r="A33" s="1" t="s">
        <v>1477</v>
      </c>
      <c r="B33" s="23">
        <v>13204</v>
      </c>
    </row>
    <row r="34" spans="1:7" x14ac:dyDescent="0.2">
      <c r="A34" s="1" t="s">
        <v>1512</v>
      </c>
      <c r="B34" s="23">
        <v>13393</v>
      </c>
    </row>
    <row r="35" spans="1:7" x14ac:dyDescent="0.2">
      <c r="A35" s="1" t="s">
        <v>1275</v>
      </c>
      <c r="B35" s="23">
        <v>6000</v>
      </c>
    </row>
    <row r="36" spans="1:7" x14ac:dyDescent="0.2">
      <c r="A36" s="1" t="s">
        <v>270</v>
      </c>
      <c r="B36" s="23">
        <v>3000</v>
      </c>
    </row>
    <row r="37" spans="1:7" x14ac:dyDescent="0.2">
      <c r="A37" s="1" t="s">
        <v>1513</v>
      </c>
      <c r="B37" s="23">
        <v>8000</v>
      </c>
    </row>
    <row r="38" spans="1:7" x14ac:dyDescent="0.2">
      <c r="A38" s="1" t="s">
        <v>1514</v>
      </c>
      <c r="B38" s="23">
        <v>440000</v>
      </c>
    </row>
    <row r="39" spans="1:7" x14ac:dyDescent="0.2">
      <c r="A39" s="1" t="s">
        <v>1470</v>
      </c>
      <c r="B39" s="23">
        <v>24000</v>
      </c>
    </row>
    <row r="40" spans="1:7" x14ac:dyDescent="0.2">
      <c r="A40" s="1" t="s">
        <v>1515</v>
      </c>
      <c r="B40" s="23">
        <v>70000</v>
      </c>
    </row>
    <row r="41" spans="1:7" x14ac:dyDescent="0.2">
      <c r="A41" s="1" t="s">
        <v>1261</v>
      </c>
      <c r="B41" s="23">
        <v>8000</v>
      </c>
    </row>
    <row r="42" spans="1:7" x14ac:dyDescent="0.2">
      <c r="A42" s="1" t="s">
        <v>1274</v>
      </c>
      <c r="B42" s="23">
        <v>12000</v>
      </c>
    </row>
    <row r="44" spans="1:7" x14ac:dyDescent="0.2">
      <c r="A44" s="2" t="s">
        <v>675</v>
      </c>
    </row>
    <row r="46" spans="1:7" ht="34" x14ac:dyDescent="0.2">
      <c r="A46" s="1" t="s">
        <v>14</v>
      </c>
      <c r="B46" s="30" t="s">
        <v>1497</v>
      </c>
      <c r="C46" s="1" t="s">
        <v>11</v>
      </c>
      <c r="D46" s="1" t="s">
        <v>12</v>
      </c>
      <c r="E46" s="1" t="s">
        <v>131</v>
      </c>
      <c r="F46" s="1" t="s">
        <v>9</v>
      </c>
      <c r="G46" s="1" t="s">
        <v>10</v>
      </c>
    </row>
    <row r="47" spans="1:7" x14ac:dyDescent="0.2">
      <c r="A47" s="1" t="s">
        <v>1498</v>
      </c>
      <c r="B47" s="23">
        <v>19255</v>
      </c>
      <c r="C47" s="23">
        <f>B47</f>
        <v>19255</v>
      </c>
    </row>
    <row r="48" spans="1:7" x14ac:dyDescent="0.2">
      <c r="A48" s="1" t="s">
        <v>17</v>
      </c>
      <c r="B48" s="23">
        <v>15401</v>
      </c>
      <c r="C48" s="23">
        <f>B48</f>
        <v>15401</v>
      </c>
    </row>
    <row r="49" spans="1:7" x14ac:dyDescent="0.2">
      <c r="A49" s="1" t="s">
        <v>1499</v>
      </c>
      <c r="B49" s="23">
        <v>8208</v>
      </c>
      <c r="C49" s="23">
        <f>B49</f>
        <v>8208</v>
      </c>
    </row>
    <row r="50" spans="1:7" x14ac:dyDescent="0.2">
      <c r="A50" s="1" t="s">
        <v>1500</v>
      </c>
      <c r="B50" s="23">
        <v>6681</v>
      </c>
      <c r="C50" s="23">
        <f>B50</f>
        <v>6681</v>
      </c>
    </row>
    <row r="51" spans="1:7" x14ac:dyDescent="0.2">
      <c r="A51" s="1" t="s">
        <v>21</v>
      </c>
      <c r="B51" s="23">
        <v>16465</v>
      </c>
      <c r="D51" s="23">
        <f>B51</f>
        <v>16465</v>
      </c>
    </row>
    <row r="52" spans="1:7" x14ac:dyDescent="0.2">
      <c r="A52" s="1" t="s">
        <v>1501</v>
      </c>
      <c r="B52" s="23">
        <v>12680</v>
      </c>
      <c r="C52" s="23">
        <f>B52</f>
        <v>12680</v>
      </c>
    </row>
    <row r="53" spans="1:7" x14ac:dyDescent="0.2">
      <c r="A53" s="1" t="s">
        <v>1502</v>
      </c>
      <c r="B53" s="23">
        <v>6660</v>
      </c>
      <c r="D53" s="23">
        <f>B53</f>
        <v>6660</v>
      </c>
    </row>
    <row r="54" spans="1:7" x14ac:dyDescent="0.2">
      <c r="A54" s="1" t="s">
        <v>1473</v>
      </c>
      <c r="B54" s="23">
        <v>14439</v>
      </c>
      <c r="G54" s="23">
        <f>B54</f>
        <v>14439</v>
      </c>
    </row>
    <row r="55" spans="1:7" x14ac:dyDescent="0.2">
      <c r="A55" s="1" t="s">
        <v>19</v>
      </c>
      <c r="B55" s="23">
        <v>19591</v>
      </c>
      <c r="C55" s="23">
        <f>B55</f>
        <v>19591</v>
      </c>
    </row>
    <row r="56" spans="1:7" x14ac:dyDescent="0.2">
      <c r="A56" s="1" t="s">
        <v>1503</v>
      </c>
      <c r="B56" s="23">
        <v>3612</v>
      </c>
      <c r="G56" s="23">
        <f>B56</f>
        <v>3612</v>
      </c>
    </row>
    <row r="57" spans="1:7" x14ac:dyDescent="0.2">
      <c r="A57" s="1" t="s">
        <v>29</v>
      </c>
      <c r="B57" s="23">
        <v>6237</v>
      </c>
      <c r="E57" s="23">
        <f>B57</f>
        <v>6237</v>
      </c>
    </row>
    <row r="58" spans="1:7" x14ac:dyDescent="0.2">
      <c r="A58" s="1" t="s">
        <v>20</v>
      </c>
      <c r="B58" s="23">
        <v>2015</v>
      </c>
      <c r="C58" s="23">
        <f>B58</f>
        <v>2015</v>
      </c>
    </row>
    <row r="59" spans="1:7" x14ac:dyDescent="0.2">
      <c r="A59" s="1" t="s">
        <v>1504</v>
      </c>
      <c r="B59" s="23">
        <v>3012</v>
      </c>
      <c r="C59" s="23">
        <f>B59</f>
        <v>3012</v>
      </c>
    </row>
    <row r="60" spans="1:7" x14ac:dyDescent="0.2">
      <c r="A60" s="1" t="s">
        <v>1505</v>
      </c>
      <c r="B60" s="23">
        <v>1541</v>
      </c>
      <c r="D60" s="23">
        <f>B60</f>
        <v>1541</v>
      </c>
    </row>
    <row r="61" spans="1:7" x14ac:dyDescent="0.2">
      <c r="A61" s="1" t="s">
        <v>1506</v>
      </c>
      <c r="B61" s="23">
        <v>1518</v>
      </c>
      <c r="D61" s="23">
        <f>B61</f>
        <v>1518</v>
      </c>
    </row>
    <row r="62" spans="1:7" x14ac:dyDescent="0.2">
      <c r="A62" s="1" t="s">
        <v>1507</v>
      </c>
      <c r="B62" s="23">
        <v>11049</v>
      </c>
      <c r="D62" s="23">
        <f>B62</f>
        <v>11049</v>
      </c>
    </row>
    <row r="63" spans="1:7" x14ac:dyDescent="0.2">
      <c r="A63" s="1" t="s">
        <v>1508</v>
      </c>
      <c r="B63" s="23">
        <v>6827</v>
      </c>
      <c r="C63" s="23">
        <f>B63</f>
        <v>6827</v>
      </c>
    </row>
    <row r="64" spans="1:7" x14ac:dyDescent="0.2">
      <c r="A64" s="1" t="s">
        <v>1188</v>
      </c>
      <c r="B64" s="23">
        <v>10447</v>
      </c>
      <c r="E64" s="23">
        <f>B64</f>
        <v>10447</v>
      </c>
    </row>
    <row r="65" spans="1:7" x14ac:dyDescent="0.2">
      <c r="A65" s="1" t="s">
        <v>24</v>
      </c>
      <c r="B65" s="23">
        <v>17354</v>
      </c>
      <c r="C65" s="23">
        <f>B65</f>
        <v>17354</v>
      </c>
    </row>
    <row r="66" spans="1:7" x14ac:dyDescent="0.2">
      <c r="A66" s="1" t="s">
        <v>1509</v>
      </c>
      <c r="B66" s="23">
        <v>19444</v>
      </c>
      <c r="C66" s="23">
        <f>B66</f>
        <v>19444</v>
      </c>
    </row>
    <row r="67" spans="1:7" x14ac:dyDescent="0.2">
      <c r="A67" s="1" t="s">
        <v>1510</v>
      </c>
      <c r="B67" s="23">
        <v>2953</v>
      </c>
      <c r="C67" s="23">
        <f>B67</f>
        <v>2953</v>
      </c>
    </row>
    <row r="68" spans="1:7" x14ac:dyDescent="0.2">
      <c r="A68" s="1" t="s">
        <v>1511</v>
      </c>
      <c r="B68" s="23">
        <v>5401</v>
      </c>
      <c r="G68" s="23">
        <f t="shared" ref="G68:G74" si="0">B68</f>
        <v>5401</v>
      </c>
    </row>
    <row r="69" spans="1:7" x14ac:dyDescent="0.2">
      <c r="A69" s="1" t="s">
        <v>1475</v>
      </c>
      <c r="B69" s="23">
        <v>6710</v>
      </c>
      <c r="G69" s="23">
        <f t="shared" si="0"/>
        <v>6710</v>
      </c>
    </row>
    <row r="70" spans="1:7" x14ac:dyDescent="0.2">
      <c r="A70" s="1" t="s">
        <v>1477</v>
      </c>
      <c r="B70" s="23">
        <v>13204</v>
      </c>
      <c r="G70" s="23">
        <f t="shared" si="0"/>
        <v>13204</v>
      </c>
    </row>
    <row r="71" spans="1:7" x14ac:dyDescent="0.2">
      <c r="A71" s="1" t="s">
        <v>1512</v>
      </c>
      <c r="B71" s="23">
        <v>13393</v>
      </c>
      <c r="G71" s="23">
        <f t="shared" si="0"/>
        <v>13393</v>
      </c>
    </row>
    <row r="72" spans="1:7" x14ac:dyDescent="0.2">
      <c r="A72" s="1" t="s">
        <v>1275</v>
      </c>
      <c r="B72" s="23">
        <v>6000</v>
      </c>
      <c r="G72" s="23">
        <f t="shared" si="0"/>
        <v>6000</v>
      </c>
    </row>
    <row r="73" spans="1:7" x14ac:dyDescent="0.2">
      <c r="A73" s="1" t="s">
        <v>270</v>
      </c>
      <c r="B73" s="23">
        <v>3000</v>
      </c>
      <c r="G73" s="23">
        <f t="shared" si="0"/>
        <v>3000</v>
      </c>
    </row>
    <row r="74" spans="1:7" x14ac:dyDescent="0.2">
      <c r="A74" s="1" t="s">
        <v>1513</v>
      </c>
      <c r="B74" s="23">
        <v>8000</v>
      </c>
      <c r="G74" s="23">
        <f t="shared" si="0"/>
        <v>8000</v>
      </c>
    </row>
    <row r="75" spans="1:7" x14ac:dyDescent="0.2">
      <c r="A75" s="1" t="s">
        <v>1514</v>
      </c>
      <c r="B75" s="23">
        <v>440000</v>
      </c>
      <c r="F75" s="23">
        <f>B75</f>
        <v>440000</v>
      </c>
    </row>
    <row r="76" spans="1:7" x14ac:dyDescent="0.2">
      <c r="A76" s="1" t="s">
        <v>1470</v>
      </c>
      <c r="B76" s="23">
        <v>24000</v>
      </c>
      <c r="F76" s="23">
        <f>B76</f>
        <v>24000</v>
      </c>
    </row>
    <row r="77" spans="1:7" x14ac:dyDescent="0.2">
      <c r="A77" s="1" t="s">
        <v>1515</v>
      </c>
      <c r="B77" s="23">
        <v>70000</v>
      </c>
      <c r="G77" s="23">
        <f>B77</f>
        <v>70000</v>
      </c>
    </row>
    <row r="78" spans="1:7" x14ac:dyDescent="0.2">
      <c r="A78" s="1" t="s">
        <v>1261</v>
      </c>
      <c r="B78" s="23">
        <v>8000</v>
      </c>
      <c r="G78" s="23">
        <f>B78</f>
        <v>8000</v>
      </c>
    </row>
    <row r="79" spans="1:7" x14ac:dyDescent="0.2">
      <c r="A79" s="1" t="s">
        <v>1274</v>
      </c>
      <c r="B79" s="23">
        <v>12000</v>
      </c>
      <c r="F79" s="23">
        <f>B79</f>
        <v>12000</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3396A76-FE90-074E-A485-DF6DBC3C6AED}">
  <dimension ref="A1:R284"/>
  <sheetViews>
    <sheetView rightToLeft="1" topLeftCell="A110" zoomScale="327" zoomScaleNormal="280" workbookViewId="0">
      <selection activeCell="A117" sqref="A117:B123"/>
    </sheetView>
  </sheetViews>
  <sheetFormatPr baseColWidth="10" defaultRowHeight="16" x14ac:dyDescent="0.2"/>
  <cols>
    <col min="1" max="16384" width="10.83203125" style="1"/>
  </cols>
  <sheetData>
    <row r="1" spans="1:8" x14ac:dyDescent="0.2">
      <c r="A1" s="7" t="s">
        <v>1518</v>
      </c>
      <c r="B1" s="7"/>
      <c r="C1" s="7"/>
      <c r="D1" s="7"/>
      <c r="E1" s="7"/>
      <c r="F1" s="7"/>
      <c r="G1" s="7"/>
      <c r="H1" s="250">
        <v>45607</v>
      </c>
    </row>
    <row r="2" spans="1:8" x14ac:dyDescent="0.2">
      <c r="A2" s="7" t="s">
        <v>2321</v>
      </c>
      <c r="B2" s="7"/>
      <c r="C2" s="7"/>
      <c r="D2" s="7"/>
      <c r="E2" s="7"/>
      <c r="F2" s="7"/>
      <c r="G2" s="7"/>
      <c r="H2" s="250"/>
    </row>
    <row r="3" spans="1:8" ht="17" thickBot="1" x14ac:dyDescent="0.25"/>
    <row r="4" spans="1:8" x14ac:dyDescent="0.2">
      <c r="A4" s="180" t="s">
        <v>2318</v>
      </c>
      <c r="B4" s="100"/>
      <c r="C4" s="100"/>
      <c r="D4" s="100"/>
      <c r="E4" s="100"/>
      <c r="F4" s="100"/>
      <c r="G4" s="100"/>
      <c r="H4" s="19"/>
    </row>
    <row r="5" spans="1:8" x14ac:dyDescent="0.2">
      <c r="A5" s="106" t="s">
        <v>2319</v>
      </c>
      <c r="H5" s="107"/>
    </row>
    <row r="6" spans="1:8" ht="17" thickBot="1" x14ac:dyDescent="0.25">
      <c r="A6" s="20" t="s">
        <v>2320</v>
      </c>
      <c r="B6" s="103"/>
      <c r="C6" s="103"/>
      <c r="D6" s="103"/>
      <c r="E6" s="103"/>
      <c r="F6" s="103"/>
      <c r="G6" s="103"/>
      <c r="H6" s="21"/>
    </row>
    <row r="7" spans="1:8" ht="17" thickBot="1" x14ac:dyDescent="0.25"/>
    <row r="8" spans="1:8" x14ac:dyDescent="0.2">
      <c r="A8" s="180" t="s">
        <v>1519</v>
      </c>
      <c r="B8" s="100"/>
      <c r="C8" s="100"/>
      <c r="D8" s="100"/>
      <c r="E8" s="100"/>
      <c r="F8" s="100"/>
      <c r="G8" s="100"/>
      <c r="H8" s="19"/>
    </row>
    <row r="9" spans="1:8" x14ac:dyDescent="0.2">
      <c r="A9" s="106" t="s">
        <v>2322</v>
      </c>
      <c r="H9" s="107"/>
    </row>
    <row r="10" spans="1:8" ht="17" thickBot="1" x14ac:dyDescent="0.25">
      <c r="A10" s="20" t="s">
        <v>2323</v>
      </c>
      <c r="B10" s="103"/>
      <c r="C10" s="390"/>
      <c r="D10" s="103"/>
      <c r="E10" s="103"/>
      <c r="F10" s="103"/>
      <c r="G10" s="103"/>
      <c r="H10" s="21"/>
    </row>
    <row r="11" spans="1:8" ht="17" thickBot="1" x14ac:dyDescent="0.25"/>
    <row r="12" spans="1:8" x14ac:dyDescent="0.2">
      <c r="A12" s="180" t="s">
        <v>1522</v>
      </c>
      <c r="B12" s="100"/>
      <c r="C12" s="100"/>
      <c r="D12" s="100"/>
      <c r="E12" s="100"/>
      <c r="F12" s="100"/>
      <c r="G12" s="100"/>
      <c r="H12" s="19"/>
    </row>
    <row r="13" spans="1:8" x14ac:dyDescent="0.2">
      <c r="A13" s="106" t="s">
        <v>1520</v>
      </c>
      <c r="H13" s="107"/>
    </row>
    <row r="14" spans="1:8" x14ac:dyDescent="0.2">
      <c r="A14" s="106" t="s">
        <v>2324</v>
      </c>
      <c r="H14" s="107"/>
    </row>
    <row r="15" spans="1:8" ht="17" thickBot="1" x14ac:dyDescent="0.25">
      <c r="A15" s="20" t="s">
        <v>1521</v>
      </c>
      <c r="B15" s="103"/>
      <c r="C15" s="103"/>
      <c r="D15" s="103"/>
      <c r="E15" s="103"/>
      <c r="F15" s="103"/>
      <c r="G15" s="103"/>
      <c r="H15" s="21"/>
    </row>
    <row r="17" spans="1:9" x14ac:dyDescent="0.2">
      <c r="A17" s="110" t="s">
        <v>2325</v>
      </c>
    </row>
    <row r="18" spans="1:9" ht="17" thickBot="1" x14ac:dyDescent="0.25"/>
    <row r="19" spans="1:9" x14ac:dyDescent="0.2">
      <c r="A19" s="180" t="s">
        <v>1523</v>
      </c>
      <c r="B19" s="100"/>
      <c r="C19" s="100"/>
      <c r="D19" s="100"/>
      <c r="E19" s="100"/>
      <c r="F19" s="100"/>
      <c r="G19" s="100"/>
      <c r="H19" s="19"/>
    </row>
    <row r="20" spans="1:9" x14ac:dyDescent="0.2">
      <c r="A20" s="106" t="s">
        <v>2326</v>
      </c>
      <c r="H20" s="107"/>
    </row>
    <row r="21" spans="1:9" x14ac:dyDescent="0.2">
      <c r="A21" s="106" t="s">
        <v>1524</v>
      </c>
      <c r="H21" s="107"/>
    </row>
    <row r="22" spans="1:9" x14ac:dyDescent="0.2">
      <c r="A22" s="106" t="s">
        <v>1525</v>
      </c>
      <c r="H22" s="107"/>
    </row>
    <row r="23" spans="1:9" ht="17" thickBot="1" x14ac:dyDescent="0.25">
      <c r="A23" s="20" t="s">
        <v>1526</v>
      </c>
      <c r="B23" s="103"/>
      <c r="C23" s="103"/>
      <c r="D23" s="103"/>
      <c r="E23" s="103"/>
      <c r="F23" s="103"/>
      <c r="G23" s="103"/>
      <c r="H23" s="21"/>
    </row>
    <row r="25" spans="1:9" x14ac:dyDescent="0.2">
      <c r="A25" s="110" t="s">
        <v>2327</v>
      </c>
    </row>
    <row r="26" spans="1:9" x14ac:dyDescent="0.2">
      <c r="A26" s="110"/>
    </row>
    <row r="27" spans="1:9" ht="17" thickBot="1" x14ac:dyDescent="0.25">
      <c r="A27" s="2" t="s">
        <v>2334</v>
      </c>
    </row>
    <row r="28" spans="1:9" ht="17" thickBot="1" x14ac:dyDescent="0.25">
      <c r="A28" s="283" t="s">
        <v>2333</v>
      </c>
      <c r="B28" s="121"/>
      <c r="C28" s="121"/>
      <c r="D28" s="121"/>
      <c r="E28" s="121"/>
      <c r="F28" s="121"/>
      <c r="G28" s="121"/>
      <c r="H28" s="147"/>
    </row>
    <row r="30" spans="1:9" s="13" customFormat="1" x14ac:dyDescent="0.2">
      <c r="A30" s="13" t="s">
        <v>2328</v>
      </c>
      <c r="C30" s="15" t="s">
        <v>76</v>
      </c>
      <c r="D30" s="13" t="s">
        <v>1532</v>
      </c>
      <c r="I30" s="13" t="s">
        <v>2329</v>
      </c>
    </row>
    <row r="31" spans="1:9" s="13" customFormat="1" ht="17" thickBot="1" x14ac:dyDescent="0.25">
      <c r="A31" s="13" t="s">
        <v>2331</v>
      </c>
      <c r="C31" s="15" t="s">
        <v>77</v>
      </c>
      <c r="D31" s="13" t="s">
        <v>1533</v>
      </c>
      <c r="I31" s="13" t="s">
        <v>2330</v>
      </c>
    </row>
    <row r="32" spans="1:9" s="13" customFormat="1" ht="17" thickBot="1" x14ac:dyDescent="0.25">
      <c r="A32" s="13" t="s">
        <v>78</v>
      </c>
      <c r="C32" s="490" t="s">
        <v>79</v>
      </c>
      <c r="D32" s="13" t="s">
        <v>1534</v>
      </c>
    </row>
    <row r="33" spans="1:8" s="13" customFormat="1" x14ac:dyDescent="0.2">
      <c r="A33" s="13" t="s">
        <v>1209</v>
      </c>
      <c r="C33" s="15" t="s">
        <v>77</v>
      </c>
      <c r="D33" s="13" t="s">
        <v>1535</v>
      </c>
    </row>
    <row r="34" spans="1:8" s="13" customFormat="1" x14ac:dyDescent="0.2">
      <c r="A34" s="13" t="s">
        <v>1210</v>
      </c>
      <c r="C34" s="15" t="s">
        <v>77</v>
      </c>
      <c r="D34" s="13" t="s">
        <v>1536</v>
      </c>
    </row>
    <row r="35" spans="1:8" s="13" customFormat="1" ht="17" thickBot="1" x14ac:dyDescent="0.25">
      <c r="A35" s="13" t="s">
        <v>1527</v>
      </c>
      <c r="C35" s="15" t="s">
        <v>2941</v>
      </c>
      <c r="D35" s="13" t="s">
        <v>2332</v>
      </c>
    </row>
    <row r="36" spans="1:8" s="13" customFormat="1" ht="17" thickBot="1" x14ac:dyDescent="0.25">
      <c r="A36" s="13" t="s">
        <v>1528</v>
      </c>
      <c r="C36" s="490" t="s">
        <v>79</v>
      </c>
      <c r="D36" s="13" t="s">
        <v>1537</v>
      </c>
    </row>
    <row r="37" spans="1:8" s="13" customFormat="1" x14ac:dyDescent="0.2">
      <c r="A37" s="13" t="s">
        <v>1212</v>
      </c>
      <c r="C37" s="15" t="s">
        <v>77</v>
      </c>
      <c r="D37" s="13" t="s">
        <v>1538</v>
      </c>
    </row>
    <row r="38" spans="1:8" s="13" customFormat="1" ht="17" thickBot="1" x14ac:dyDescent="0.25">
      <c r="A38" s="13" t="s">
        <v>1213</v>
      </c>
      <c r="C38" s="15" t="s">
        <v>76</v>
      </c>
      <c r="D38" s="13" t="s">
        <v>1539</v>
      </c>
    </row>
    <row r="39" spans="1:8" s="13" customFormat="1" ht="17" thickBot="1" x14ac:dyDescent="0.25">
      <c r="A39" s="13" t="s">
        <v>1529</v>
      </c>
      <c r="C39" s="490" t="s">
        <v>79</v>
      </c>
      <c r="D39" s="13" t="s">
        <v>1540</v>
      </c>
    </row>
    <row r="40" spans="1:8" s="13" customFormat="1" ht="17" thickBot="1" x14ac:dyDescent="0.25">
      <c r="A40" s="13" t="s">
        <v>1530</v>
      </c>
      <c r="C40" s="15" t="s">
        <v>77</v>
      </c>
      <c r="D40" s="13" t="s">
        <v>1541</v>
      </c>
    </row>
    <row r="41" spans="1:8" s="13" customFormat="1" ht="17" thickBot="1" x14ac:dyDescent="0.25">
      <c r="A41" s="13" t="s">
        <v>1531</v>
      </c>
      <c r="C41" s="490" t="s">
        <v>79</v>
      </c>
      <c r="D41" s="13" t="s">
        <v>1542</v>
      </c>
    </row>
    <row r="42" spans="1:8" s="13" customFormat="1" x14ac:dyDescent="0.2"/>
    <row r="43" spans="1:8" x14ac:dyDescent="0.2">
      <c r="A43" s="1" t="s">
        <v>1543</v>
      </c>
    </row>
    <row r="45" spans="1:8" ht="17" thickBot="1" x14ac:dyDescent="0.25">
      <c r="A45" s="2" t="s">
        <v>2335</v>
      </c>
    </row>
    <row r="46" spans="1:8" ht="17" thickBot="1" x14ac:dyDescent="0.25">
      <c r="A46" s="283" t="s">
        <v>1547</v>
      </c>
      <c r="B46" s="121"/>
      <c r="C46" s="121"/>
      <c r="D46" s="121"/>
      <c r="E46" s="121"/>
      <c r="F46" s="121"/>
      <c r="G46" s="121"/>
      <c r="H46" s="147"/>
    </row>
    <row r="48" spans="1:8" ht="17" thickBot="1" x14ac:dyDescent="0.25">
      <c r="A48" s="391" t="s">
        <v>11</v>
      </c>
      <c r="B48" s="391"/>
      <c r="C48" s="391"/>
      <c r="D48" s="391"/>
      <c r="F48" s="392" t="s">
        <v>1066</v>
      </c>
      <c r="G48" s="392"/>
      <c r="H48" s="392"/>
    </row>
    <row r="49" spans="1:8" x14ac:dyDescent="0.2">
      <c r="A49" s="180" t="s">
        <v>2336</v>
      </c>
      <c r="B49" s="19"/>
      <c r="F49" s="272" t="s">
        <v>1166</v>
      </c>
      <c r="G49" s="105"/>
      <c r="H49" s="411"/>
    </row>
    <row r="50" spans="1:8" x14ac:dyDescent="0.2">
      <c r="A50" s="262" t="s">
        <v>140</v>
      </c>
      <c r="B50" s="264"/>
      <c r="F50" s="262" t="s">
        <v>27</v>
      </c>
      <c r="G50" s="13"/>
      <c r="H50" s="264"/>
    </row>
    <row r="51" spans="1:8" x14ac:dyDescent="0.2">
      <c r="A51" s="262" t="s">
        <v>2942</v>
      </c>
      <c r="B51" s="264"/>
      <c r="F51" s="262" t="s">
        <v>21</v>
      </c>
      <c r="G51" s="13"/>
      <c r="H51" s="264"/>
    </row>
    <row r="52" spans="1:8" x14ac:dyDescent="0.2">
      <c r="A52" s="262" t="s">
        <v>20</v>
      </c>
      <c r="B52" s="264"/>
      <c r="F52" s="262" t="s">
        <v>1502</v>
      </c>
      <c r="G52" s="13"/>
      <c r="H52" s="264"/>
    </row>
    <row r="53" spans="1:8" ht="17" thickBot="1" x14ac:dyDescent="0.25">
      <c r="A53" s="262" t="s">
        <v>1168</v>
      </c>
      <c r="B53" s="264"/>
      <c r="F53" s="492" t="s">
        <v>1186</v>
      </c>
      <c r="G53" s="266"/>
      <c r="H53" s="271"/>
    </row>
    <row r="54" spans="1:8" ht="17" thickBot="1" x14ac:dyDescent="0.25">
      <c r="A54" s="262" t="s">
        <v>68</v>
      </c>
      <c r="B54" s="264"/>
    </row>
    <row r="55" spans="1:8" ht="17" thickBot="1" x14ac:dyDescent="0.25">
      <c r="A55" s="153" t="s">
        <v>1544</v>
      </c>
      <c r="B55" s="21"/>
      <c r="F55" s="272" t="s">
        <v>1545</v>
      </c>
      <c r="G55" s="105"/>
      <c r="H55" s="411"/>
    </row>
    <row r="56" spans="1:8" ht="17" thickBot="1" x14ac:dyDescent="0.25">
      <c r="F56" s="262" t="s">
        <v>28</v>
      </c>
      <c r="G56" s="13"/>
      <c r="H56" s="264"/>
    </row>
    <row r="57" spans="1:8" x14ac:dyDescent="0.2">
      <c r="A57" s="180" t="s">
        <v>1456</v>
      </c>
      <c r="B57" s="19"/>
      <c r="F57" s="262" t="s">
        <v>1546</v>
      </c>
      <c r="G57" s="13"/>
      <c r="H57" s="264"/>
    </row>
    <row r="58" spans="1:8" ht="17" thickBot="1" x14ac:dyDescent="0.25">
      <c r="A58" s="262" t="s">
        <v>1177</v>
      </c>
      <c r="B58" s="264"/>
      <c r="F58" s="492" t="s">
        <v>1187</v>
      </c>
      <c r="G58" s="266"/>
      <c r="H58" s="271"/>
    </row>
    <row r="59" spans="1:8" ht="17" thickBot="1" x14ac:dyDescent="0.25">
      <c r="A59" s="262" t="s">
        <v>22</v>
      </c>
      <c r="B59" s="264"/>
    </row>
    <row r="60" spans="1:8" x14ac:dyDescent="0.2">
      <c r="A60" s="262" t="s">
        <v>23</v>
      </c>
      <c r="B60" s="264"/>
      <c r="F60" s="272" t="s">
        <v>131</v>
      </c>
      <c r="G60" s="105"/>
      <c r="H60" s="411"/>
    </row>
    <row r="61" spans="1:8" x14ac:dyDescent="0.2">
      <c r="A61" s="262" t="s">
        <v>1462</v>
      </c>
      <c r="B61" s="264"/>
      <c r="F61" s="262" t="s">
        <v>1627</v>
      </c>
      <c r="G61" s="13"/>
      <c r="H61" s="264"/>
    </row>
    <row r="62" spans="1:8" ht="17" thickBot="1" x14ac:dyDescent="0.25">
      <c r="A62" s="153" t="s">
        <v>1183</v>
      </c>
      <c r="B62" s="21"/>
      <c r="F62" s="262" t="s">
        <v>1626</v>
      </c>
      <c r="G62" s="13"/>
      <c r="H62" s="264"/>
    </row>
    <row r="63" spans="1:8" ht="17" thickBot="1" x14ac:dyDescent="0.25">
      <c r="F63" s="492" t="s">
        <v>1194</v>
      </c>
      <c r="G63" s="266"/>
      <c r="H63" s="271"/>
    </row>
    <row r="64" spans="1:8" ht="17" thickBot="1" x14ac:dyDescent="0.25"/>
    <row r="65" spans="1:8" ht="17" thickBot="1" x14ac:dyDescent="0.25">
      <c r="A65" s="393" t="s">
        <v>1457</v>
      </c>
      <c r="B65" s="491"/>
      <c r="D65" s="6" t="s">
        <v>1023</v>
      </c>
      <c r="F65" s="392" t="s">
        <v>1459</v>
      </c>
      <c r="G65" s="394"/>
      <c r="H65" s="394"/>
    </row>
    <row r="66" spans="1:8" x14ac:dyDescent="0.2">
      <c r="D66"/>
    </row>
    <row r="67" spans="1:8" x14ac:dyDescent="0.2">
      <c r="A67" s="2" t="s">
        <v>1548</v>
      </c>
    </row>
    <row r="68" spans="1:8" x14ac:dyDescent="0.2">
      <c r="A68" s="2"/>
    </row>
    <row r="69" spans="1:8" x14ac:dyDescent="0.2">
      <c r="A69" s="7" t="s">
        <v>1569</v>
      </c>
      <c r="B69" s="3"/>
      <c r="C69" s="3"/>
      <c r="D69" s="3"/>
      <c r="E69" s="3"/>
      <c r="F69" s="3"/>
      <c r="G69" s="3"/>
      <c r="H69" s="3"/>
    </row>
    <row r="70" spans="1:8" x14ac:dyDescent="0.2">
      <c r="A70" s="1" t="s">
        <v>1549</v>
      </c>
    </row>
    <row r="71" spans="1:8" x14ac:dyDescent="0.2">
      <c r="A71" s="1" t="s">
        <v>1550</v>
      </c>
    </row>
    <row r="72" spans="1:8" x14ac:dyDescent="0.2">
      <c r="A72" s="1" t="s">
        <v>1575</v>
      </c>
    </row>
    <row r="74" spans="1:8" x14ac:dyDescent="0.2">
      <c r="A74" s="1" t="s">
        <v>14</v>
      </c>
      <c r="D74" s="1" t="s">
        <v>295</v>
      </c>
    </row>
    <row r="75" spans="1:8" x14ac:dyDescent="0.2">
      <c r="A75" s="1" t="s">
        <v>1551</v>
      </c>
      <c r="D75" s="23">
        <v>40000</v>
      </c>
    </row>
    <row r="76" spans="1:8" x14ac:dyDescent="0.2">
      <c r="A76" s="1" t="s">
        <v>1552</v>
      </c>
      <c r="D76" s="23">
        <v>50000</v>
      </c>
    </row>
    <row r="77" spans="1:8" x14ac:dyDescent="0.2">
      <c r="A77" s="1" t="s">
        <v>1473</v>
      </c>
      <c r="D77" s="23">
        <v>12000</v>
      </c>
    </row>
    <row r="78" spans="1:8" x14ac:dyDescent="0.2">
      <c r="A78" s="1" t="s">
        <v>1474</v>
      </c>
      <c r="D78" s="23">
        <v>3000</v>
      </c>
    </row>
    <row r="79" spans="1:8" x14ac:dyDescent="0.2">
      <c r="A79" s="1" t="s">
        <v>1553</v>
      </c>
      <c r="D79" s="23">
        <v>14000</v>
      </c>
    </row>
    <row r="80" spans="1:8" x14ac:dyDescent="0.2">
      <c r="A80" s="1" t="s">
        <v>1554</v>
      </c>
      <c r="D80" s="23">
        <v>11000</v>
      </c>
    </row>
    <row r="81" spans="1:4" x14ac:dyDescent="0.2">
      <c r="A81" s="1" t="s">
        <v>269</v>
      </c>
      <c r="D81" s="23">
        <v>34000</v>
      </c>
    </row>
    <row r="82" spans="1:4" x14ac:dyDescent="0.2">
      <c r="A82" s="1" t="s">
        <v>1274</v>
      </c>
      <c r="D82" s="23">
        <v>22000</v>
      </c>
    </row>
    <row r="83" spans="1:4" x14ac:dyDescent="0.2">
      <c r="A83" s="1" t="s">
        <v>1475</v>
      </c>
      <c r="D83" s="23">
        <v>28000</v>
      </c>
    </row>
    <row r="84" spans="1:4" x14ac:dyDescent="0.2">
      <c r="A84" s="1" t="s">
        <v>1246</v>
      </c>
      <c r="D84" s="23">
        <v>14000</v>
      </c>
    </row>
    <row r="85" spans="1:4" x14ac:dyDescent="0.2">
      <c r="A85" s="1" t="s">
        <v>267</v>
      </c>
      <c r="D85" s="23">
        <v>11000</v>
      </c>
    </row>
    <row r="86" spans="1:4" x14ac:dyDescent="0.2">
      <c r="A86" s="1" t="s">
        <v>27</v>
      </c>
      <c r="D86" s="23">
        <v>88000</v>
      </c>
    </row>
    <row r="87" spans="1:4" x14ac:dyDescent="0.2">
      <c r="A87" s="1" t="s">
        <v>19</v>
      </c>
      <c r="D87" s="23">
        <v>14000</v>
      </c>
    </row>
    <row r="88" spans="1:4" x14ac:dyDescent="0.2">
      <c r="A88" s="1" t="s">
        <v>1477</v>
      </c>
      <c r="D88" s="23">
        <v>1000</v>
      </c>
    </row>
    <row r="89" spans="1:4" x14ac:dyDescent="0.2">
      <c r="A89" s="1" t="s">
        <v>1565</v>
      </c>
      <c r="D89" s="23">
        <v>7000</v>
      </c>
    </row>
    <row r="90" spans="1:4" x14ac:dyDescent="0.2">
      <c r="A90" s="1" t="s">
        <v>1261</v>
      </c>
      <c r="D90" s="23">
        <v>10000</v>
      </c>
    </row>
    <row r="91" spans="1:4" x14ac:dyDescent="0.2">
      <c r="A91" s="1" t="s">
        <v>1567</v>
      </c>
      <c r="D91" s="23">
        <v>13000</v>
      </c>
    </row>
    <row r="92" spans="1:4" x14ac:dyDescent="0.2">
      <c r="A92" s="1" t="s">
        <v>1555</v>
      </c>
      <c r="D92" s="23">
        <v>23000</v>
      </c>
    </row>
    <row r="93" spans="1:4" x14ac:dyDescent="0.2">
      <c r="A93" s="1" t="s">
        <v>1556</v>
      </c>
      <c r="D93" s="23">
        <v>52000</v>
      </c>
    </row>
    <row r="94" spans="1:4" x14ac:dyDescent="0.2">
      <c r="A94" s="1" t="s">
        <v>75</v>
      </c>
      <c r="D94" s="23">
        <v>800000</v>
      </c>
    </row>
    <row r="95" spans="1:4" x14ac:dyDescent="0.2">
      <c r="A95" s="1" t="s">
        <v>254</v>
      </c>
      <c r="D95" s="23">
        <v>100000</v>
      </c>
    </row>
    <row r="96" spans="1:4" x14ac:dyDescent="0.2">
      <c r="A96" s="1" t="s">
        <v>1557</v>
      </c>
      <c r="D96" s="23">
        <v>1400000</v>
      </c>
    </row>
    <row r="97" spans="1:4" x14ac:dyDescent="0.2">
      <c r="A97" s="1" t="s">
        <v>1566</v>
      </c>
      <c r="D97" s="23">
        <v>2000</v>
      </c>
    </row>
    <row r="98" spans="1:4" x14ac:dyDescent="0.2">
      <c r="A98" s="1" t="s">
        <v>1511</v>
      </c>
      <c r="D98" s="23">
        <v>230000</v>
      </c>
    </row>
    <row r="99" spans="1:4" x14ac:dyDescent="0.2">
      <c r="A99" s="1" t="s">
        <v>1558</v>
      </c>
      <c r="D99" s="23">
        <v>150000</v>
      </c>
    </row>
    <row r="100" spans="1:4" x14ac:dyDescent="0.2">
      <c r="A100" s="1" t="s">
        <v>24</v>
      </c>
      <c r="D100" s="23">
        <v>90000</v>
      </c>
    </row>
    <row r="101" spans="1:4" x14ac:dyDescent="0.2">
      <c r="A101" s="1" t="s">
        <v>1559</v>
      </c>
      <c r="D101" s="191" t="s">
        <v>31</v>
      </c>
    </row>
    <row r="102" spans="1:4" x14ac:dyDescent="0.2">
      <c r="A102" s="1" t="s">
        <v>1560</v>
      </c>
      <c r="D102" s="23">
        <v>30000</v>
      </c>
    </row>
    <row r="103" spans="1:4" x14ac:dyDescent="0.2">
      <c r="A103" s="1" t="s">
        <v>28</v>
      </c>
      <c r="D103" s="23">
        <v>34000</v>
      </c>
    </row>
    <row r="104" spans="1:4" x14ac:dyDescent="0.2">
      <c r="A104" s="1" t="s">
        <v>21</v>
      </c>
      <c r="D104" s="23">
        <v>75000</v>
      </c>
    </row>
    <row r="105" spans="1:4" x14ac:dyDescent="0.2">
      <c r="A105" s="1" t="s">
        <v>1561</v>
      </c>
      <c r="D105" s="23">
        <v>31000</v>
      </c>
    </row>
    <row r="107" spans="1:4" x14ac:dyDescent="0.2">
      <c r="A107" s="1" t="s">
        <v>578</v>
      </c>
    </row>
    <row r="108" spans="1:4" x14ac:dyDescent="0.2">
      <c r="A108" s="1" t="s">
        <v>1562</v>
      </c>
    </row>
    <row r="109" spans="1:4" x14ac:dyDescent="0.2">
      <c r="A109" s="1" t="s">
        <v>1563</v>
      </c>
    </row>
    <row r="110" spans="1:4" x14ac:dyDescent="0.2">
      <c r="A110" s="1" t="s">
        <v>1564</v>
      </c>
    </row>
    <row r="112" spans="1:4" x14ac:dyDescent="0.2">
      <c r="A112" s="2" t="s">
        <v>1574</v>
      </c>
    </row>
    <row r="114" spans="1:16" x14ac:dyDescent="0.2">
      <c r="A114" s="25" t="s">
        <v>14</v>
      </c>
      <c r="B114" s="25"/>
      <c r="C114" s="25"/>
      <c r="D114" s="25" t="s">
        <v>295</v>
      </c>
      <c r="E114" s="25" t="s">
        <v>11</v>
      </c>
      <c r="F114" s="25" t="s">
        <v>12</v>
      </c>
      <c r="G114" s="25" t="s">
        <v>131</v>
      </c>
      <c r="H114" s="25" t="s">
        <v>9</v>
      </c>
      <c r="I114" s="25" t="s">
        <v>10</v>
      </c>
    </row>
    <row r="115" spans="1:16" s="13" customFormat="1" hidden="1" x14ac:dyDescent="0.2">
      <c r="A115" s="13" t="s">
        <v>1551</v>
      </c>
      <c r="D115" s="252">
        <v>40000</v>
      </c>
      <c r="E115" s="252">
        <f>D115</f>
        <v>40000</v>
      </c>
    </row>
    <row r="116" spans="1:16" s="13" customFormat="1" hidden="1" x14ac:dyDescent="0.2">
      <c r="A116" s="13" t="s">
        <v>1552</v>
      </c>
      <c r="D116" s="252">
        <v>50000</v>
      </c>
      <c r="E116" s="252">
        <f>D116</f>
        <v>50000</v>
      </c>
    </row>
    <row r="117" spans="1:16" s="13" customFormat="1" x14ac:dyDescent="0.2">
      <c r="A117" s="13" t="s">
        <v>1473</v>
      </c>
      <c r="D117" s="252">
        <v>12000</v>
      </c>
      <c r="I117" s="252">
        <f>D117</f>
        <v>12000</v>
      </c>
      <c r="J117" s="13" t="s">
        <v>1210</v>
      </c>
      <c r="M117" s="14"/>
    </row>
    <row r="118" spans="1:16" s="13" customFormat="1" x14ac:dyDescent="0.2">
      <c r="A118" s="13" t="s">
        <v>1474</v>
      </c>
      <c r="D118" s="252">
        <v>3000</v>
      </c>
      <c r="I118" s="252">
        <f>D118</f>
        <v>3000</v>
      </c>
      <c r="J118" s="13" t="s">
        <v>1210</v>
      </c>
      <c r="M118" s="14"/>
    </row>
    <row r="119" spans="1:16" s="13" customFormat="1" x14ac:dyDescent="0.2">
      <c r="A119" s="13" t="s">
        <v>1553</v>
      </c>
      <c r="D119" s="252">
        <v>14000</v>
      </c>
      <c r="I119" s="252">
        <f>D119</f>
        <v>14000</v>
      </c>
      <c r="J119" s="13" t="s">
        <v>1209</v>
      </c>
      <c r="O119" s="15"/>
      <c r="P119" s="252"/>
    </row>
    <row r="120" spans="1:16" s="13" customFormat="1" x14ac:dyDescent="0.2">
      <c r="A120" s="13" t="s">
        <v>2337</v>
      </c>
      <c r="D120" s="252">
        <v>11000</v>
      </c>
      <c r="I120" s="252">
        <f>D120</f>
        <v>11000</v>
      </c>
      <c r="J120" s="13" t="s">
        <v>1209</v>
      </c>
      <c r="O120" s="15"/>
      <c r="P120" s="252"/>
    </row>
    <row r="121" spans="1:16" s="13" customFormat="1" x14ac:dyDescent="0.2">
      <c r="A121" s="13" t="s">
        <v>269</v>
      </c>
      <c r="D121" s="252">
        <v>34000</v>
      </c>
      <c r="I121" s="252">
        <f>D121</f>
        <v>34000</v>
      </c>
      <c r="J121" s="13" t="s">
        <v>1210</v>
      </c>
      <c r="O121" s="15"/>
      <c r="P121" s="15"/>
    </row>
    <row r="122" spans="1:16" s="13" customFormat="1" x14ac:dyDescent="0.2">
      <c r="A122" s="13" t="s">
        <v>1274</v>
      </c>
      <c r="D122" s="252">
        <v>22000</v>
      </c>
      <c r="H122" s="252">
        <f>D122</f>
        <v>22000</v>
      </c>
      <c r="J122" s="13" t="s">
        <v>1213</v>
      </c>
      <c r="O122" s="15"/>
      <c r="P122" s="15"/>
    </row>
    <row r="123" spans="1:16" s="13" customFormat="1" x14ac:dyDescent="0.2">
      <c r="A123" s="13" t="s">
        <v>1475</v>
      </c>
      <c r="D123" s="252">
        <v>28000</v>
      </c>
      <c r="I123" s="252">
        <f>D123</f>
        <v>28000</v>
      </c>
      <c r="J123" s="13" t="s">
        <v>1210</v>
      </c>
      <c r="O123" s="15"/>
      <c r="P123" s="15"/>
    </row>
    <row r="124" spans="1:16" s="13" customFormat="1" x14ac:dyDescent="0.2">
      <c r="A124" s="13" t="s">
        <v>1661</v>
      </c>
      <c r="D124" s="252">
        <v>14000</v>
      </c>
      <c r="H124" s="252">
        <f>D124</f>
        <v>14000</v>
      </c>
      <c r="J124" s="13" t="s">
        <v>1461</v>
      </c>
      <c r="O124" s="15"/>
      <c r="P124" s="15"/>
    </row>
    <row r="125" spans="1:16" s="13" customFormat="1" x14ac:dyDescent="0.2">
      <c r="A125" s="13" t="s">
        <v>267</v>
      </c>
      <c r="D125" s="252">
        <v>11000</v>
      </c>
      <c r="I125" s="252">
        <f>D125</f>
        <v>11000</v>
      </c>
      <c r="J125" s="13" t="s">
        <v>1212</v>
      </c>
      <c r="O125" s="15"/>
      <c r="P125" s="15"/>
    </row>
    <row r="126" spans="1:16" s="13" customFormat="1" x14ac:dyDescent="0.2">
      <c r="A126" s="13" t="s">
        <v>27</v>
      </c>
      <c r="D126" s="252">
        <v>88000</v>
      </c>
      <c r="F126" s="252">
        <v>88000</v>
      </c>
      <c r="O126" s="15"/>
      <c r="P126" s="15"/>
    </row>
    <row r="127" spans="1:16" s="13" customFormat="1" x14ac:dyDescent="0.2">
      <c r="A127" s="13" t="s">
        <v>19</v>
      </c>
      <c r="D127" s="252">
        <v>14000</v>
      </c>
      <c r="E127" s="252">
        <f>D127</f>
        <v>14000</v>
      </c>
      <c r="O127" s="15"/>
      <c r="P127" s="15"/>
    </row>
    <row r="128" spans="1:16" s="13" customFormat="1" x14ac:dyDescent="0.2">
      <c r="A128" s="13" t="s">
        <v>2338</v>
      </c>
      <c r="D128" s="252">
        <v>1000</v>
      </c>
      <c r="I128" s="252">
        <f>D128</f>
        <v>1000</v>
      </c>
      <c r="J128" s="13" t="s">
        <v>1212</v>
      </c>
      <c r="O128" s="15"/>
      <c r="P128" s="15"/>
    </row>
    <row r="129" spans="1:16" s="13" customFormat="1" x14ac:dyDescent="0.2">
      <c r="A129" s="13" t="s">
        <v>2339</v>
      </c>
      <c r="D129" s="252">
        <v>7000</v>
      </c>
      <c r="E129" s="252">
        <f>D129</f>
        <v>7000</v>
      </c>
      <c r="O129" s="15"/>
      <c r="P129" s="15"/>
    </row>
    <row r="130" spans="1:16" s="13" customFormat="1" x14ac:dyDescent="0.2">
      <c r="A130" s="13" t="s">
        <v>1261</v>
      </c>
      <c r="D130" s="252">
        <v>10000</v>
      </c>
      <c r="I130" s="252">
        <f>D130</f>
        <v>10000</v>
      </c>
      <c r="J130" s="13" t="s">
        <v>1210</v>
      </c>
      <c r="O130" s="15"/>
      <c r="P130" s="15"/>
    </row>
    <row r="131" spans="1:16" s="13" customFormat="1" x14ac:dyDescent="0.2">
      <c r="A131" s="13" t="s">
        <v>1567</v>
      </c>
      <c r="D131" s="252">
        <v>13000</v>
      </c>
      <c r="I131" s="252">
        <f>D131</f>
        <v>13000</v>
      </c>
      <c r="J131" s="13" t="s">
        <v>1209</v>
      </c>
      <c r="P131" s="15"/>
    </row>
    <row r="132" spans="1:16" s="13" customFormat="1" x14ac:dyDescent="0.2">
      <c r="A132" s="13" t="s">
        <v>1555</v>
      </c>
      <c r="D132" s="252">
        <v>23000</v>
      </c>
      <c r="I132" s="252">
        <f>D132</f>
        <v>23000</v>
      </c>
      <c r="J132" s="13" t="s">
        <v>1209</v>
      </c>
      <c r="P132" s="15"/>
    </row>
    <row r="133" spans="1:16" s="13" customFormat="1" x14ac:dyDescent="0.2">
      <c r="A133" s="13" t="s">
        <v>1556</v>
      </c>
      <c r="D133" s="252">
        <v>52000</v>
      </c>
      <c r="I133" s="252">
        <f>D133</f>
        <v>52000</v>
      </c>
      <c r="J133" s="13" t="s">
        <v>1210</v>
      </c>
      <c r="P133" s="15"/>
    </row>
    <row r="134" spans="1:16" s="13" customFormat="1" x14ac:dyDescent="0.2">
      <c r="A134" s="13" t="s">
        <v>75</v>
      </c>
      <c r="D134" s="252">
        <v>800000</v>
      </c>
      <c r="H134" s="252">
        <f>D134</f>
        <v>800000</v>
      </c>
      <c r="J134" s="13" t="s">
        <v>75</v>
      </c>
    </row>
    <row r="135" spans="1:16" s="13" customFormat="1" x14ac:dyDescent="0.2">
      <c r="A135" s="13" t="s">
        <v>254</v>
      </c>
      <c r="D135" s="252">
        <v>100000</v>
      </c>
      <c r="E135" s="252">
        <f>D135</f>
        <v>100000</v>
      </c>
    </row>
    <row r="136" spans="1:16" s="13" customFormat="1" x14ac:dyDescent="0.2">
      <c r="A136" s="13" t="s">
        <v>1557</v>
      </c>
      <c r="D136" s="252">
        <v>1400000</v>
      </c>
      <c r="E136" s="252">
        <f>D136</f>
        <v>1400000</v>
      </c>
    </row>
    <row r="137" spans="1:16" s="13" customFormat="1" x14ac:dyDescent="0.2">
      <c r="A137" s="13" t="s">
        <v>2340</v>
      </c>
      <c r="D137" s="252">
        <v>2000</v>
      </c>
      <c r="F137" s="252">
        <f>D137</f>
        <v>2000</v>
      </c>
    </row>
    <row r="138" spans="1:16" s="13" customFormat="1" x14ac:dyDescent="0.2">
      <c r="A138" s="13" t="s">
        <v>1511</v>
      </c>
      <c r="D138" s="252">
        <v>230000</v>
      </c>
      <c r="I138" s="252">
        <f>D138</f>
        <v>230000</v>
      </c>
      <c r="J138" s="13" t="s">
        <v>1511</v>
      </c>
    </row>
    <row r="139" spans="1:16" s="13" customFormat="1" x14ac:dyDescent="0.2">
      <c r="A139" s="13" t="s">
        <v>1558</v>
      </c>
      <c r="D139" s="252">
        <v>150000</v>
      </c>
      <c r="E139" s="252">
        <f>D139</f>
        <v>150000</v>
      </c>
    </row>
    <row r="140" spans="1:16" s="13" customFormat="1" x14ac:dyDescent="0.2">
      <c r="A140" s="13" t="s">
        <v>24</v>
      </c>
      <c r="D140" s="252">
        <v>90000</v>
      </c>
      <c r="E140" s="252">
        <f>D140</f>
        <v>90000</v>
      </c>
    </row>
    <row r="141" spans="1:16" s="13" customFormat="1" x14ac:dyDescent="0.2">
      <c r="A141" s="13" t="s">
        <v>2341</v>
      </c>
      <c r="D141" s="255" t="s">
        <v>31</v>
      </c>
      <c r="G141" s="256" t="str">
        <f>D141</f>
        <v>?</v>
      </c>
    </row>
    <row r="142" spans="1:16" s="13" customFormat="1" x14ac:dyDescent="0.2">
      <c r="A142" s="13" t="s">
        <v>2342</v>
      </c>
      <c r="D142" s="252">
        <v>30000</v>
      </c>
      <c r="F142" s="252">
        <f>D142</f>
        <v>30000</v>
      </c>
    </row>
    <row r="143" spans="1:16" s="13" customFormat="1" x14ac:dyDescent="0.2">
      <c r="A143" s="13" t="s">
        <v>28</v>
      </c>
      <c r="D143" s="252">
        <v>34000</v>
      </c>
      <c r="F143" s="252">
        <f>D143</f>
        <v>34000</v>
      </c>
    </row>
    <row r="144" spans="1:16" s="13" customFormat="1" x14ac:dyDescent="0.2">
      <c r="A144" s="13" t="s">
        <v>21</v>
      </c>
      <c r="D144" s="252">
        <v>75000</v>
      </c>
      <c r="F144" s="252">
        <f>D144</f>
        <v>75000</v>
      </c>
    </row>
    <row r="145" spans="1:10" s="13" customFormat="1" x14ac:dyDescent="0.2">
      <c r="A145" s="13" t="s">
        <v>1561</v>
      </c>
      <c r="D145" s="252">
        <v>31000</v>
      </c>
      <c r="F145" s="252">
        <f>D145</f>
        <v>31000</v>
      </c>
    </row>
    <row r="146" spans="1:10" x14ac:dyDescent="0.2">
      <c r="A146" s="1" t="s">
        <v>281</v>
      </c>
      <c r="E146" s="257">
        <f>SUM(E115:E145)</f>
        <v>1851000</v>
      </c>
      <c r="F146" s="257">
        <f>SUM(F115:F145)</f>
        <v>260000</v>
      </c>
      <c r="G146" s="258" t="s">
        <v>31</v>
      </c>
      <c r="H146" s="257">
        <f>SUM(H115:H145)</f>
        <v>836000</v>
      </c>
      <c r="I146" s="257">
        <f>SUM(I115:I145)</f>
        <v>442000</v>
      </c>
      <c r="J146" s="12"/>
    </row>
    <row r="147" spans="1:10" x14ac:dyDescent="0.2">
      <c r="E147" s="13" t="s">
        <v>11</v>
      </c>
      <c r="F147" s="13" t="s">
        <v>12</v>
      </c>
      <c r="G147" s="13" t="s">
        <v>1577</v>
      </c>
      <c r="H147" s="13" t="s">
        <v>9</v>
      </c>
      <c r="I147" s="13" t="s">
        <v>10</v>
      </c>
      <c r="J147" s="12"/>
    </row>
    <row r="149" spans="1:10" x14ac:dyDescent="0.2">
      <c r="A149" s="1" t="s">
        <v>1578</v>
      </c>
    </row>
    <row r="151" spans="1:10" x14ac:dyDescent="0.2">
      <c r="A151" s="1" t="s">
        <v>1579</v>
      </c>
      <c r="C151" s="1" t="s">
        <v>2343</v>
      </c>
      <c r="H151" s="1" t="s">
        <v>2344</v>
      </c>
    </row>
    <row r="152" spans="1:10" s="13" customFormat="1" x14ac:dyDescent="0.2">
      <c r="H152" s="13" t="s">
        <v>2345</v>
      </c>
    </row>
    <row r="153" spans="1:10" s="13" customFormat="1" x14ac:dyDescent="0.2">
      <c r="A153" s="13" t="s">
        <v>1580</v>
      </c>
      <c r="C153" s="13" t="s">
        <v>1582</v>
      </c>
      <c r="H153" s="13" t="s">
        <v>2346</v>
      </c>
    </row>
    <row r="154" spans="1:10" s="12" customFormat="1" x14ac:dyDescent="0.2"/>
    <row r="155" spans="1:10" s="13" customFormat="1" x14ac:dyDescent="0.2">
      <c r="A155" s="13" t="s">
        <v>1581</v>
      </c>
      <c r="C155" s="259" t="s">
        <v>1583</v>
      </c>
      <c r="H155" s="13" t="s">
        <v>2347</v>
      </c>
    </row>
    <row r="156" spans="1:10" s="12" customFormat="1" x14ac:dyDescent="0.2">
      <c r="C156" s="499"/>
    </row>
    <row r="157" spans="1:10" s="12" customFormat="1" ht="17" thickBot="1" x14ac:dyDescent="0.25">
      <c r="A157" s="13" t="s">
        <v>2348</v>
      </c>
      <c r="C157" s="259"/>
      <c r="D157" s="13"/>
      <c r="E157" s="13"/>
      <c r="F157" s="13"/>
      <c r="G157" s="13"/>
      <c r="H157" s="13"/>
    </row>
    <row r="158" spans="1:10" s="13" customFormat="1" ht="17" thickBot="1" x14ac:dyDescent="0.25">
      <c r="A158" s="398" t="s">
        <v>2349</v>
      </c>
      <c r="B158" s="310"/>
      <c r="C158" s="290" t="s">
        <v>1584</v>
      </c>
      <c r="D158" s="290"/>
      <c r="E158" s="290"/>
      <c r="F158" s="399"/>
    </row>
    <row r="159" spans="1:10" s="12" customFormat="1" x14ac:dyDescent="0.2"/>
    <row r="160" spans="1:10" s="13" customFormat="1" x14ac:dyDescent="0.2">
      <c r="A160" s="13" t="s">
        <v>1585</v>
      </c>
    </row>
    <row r="161" spans="1:6" s="13" customFormat="1" x14ac:dyDescent="0.2">
      <c r="C161" s="248">
        <v>442000</v>
      </c>
      <c r="D161" s="260">
        <v>260000</v>
      </c>
      <c r="F161" s="260">
        <v>836000</v>
      </c>
    </row>
    <row r="162" spans="1:6" s="13" customFormat="1" x14ac:dyDescent="0.2">
      <c r="E162" s="13" t="s">
        <v>1586</v>
      </c>
    </row>
    <row r="163" spans="1:6" s="13" customFormat="1" x14ac:dyDescent="0.2">
      <c r="C163" s="260">
        <v>1851000</v>
      </c>
    </row>
    <row r="164" spans="1:6" s="13" customFormat="1" x14ac:dyDescent="0.2"/>
    <row r="165" spans="1:6" s="13" customFormat="1" x14ac:dyDescent="0.2">
      <c r="A165" s="13" t="s">
        <v>1587</v>
      </c>
      <c r="F165" s="13" t="s">
        <v>1588</v>
      </c>
    </row>
    <row r="166" spans="1:6" s="13" customFormat="1" x14ac:dyDescent="0.2"/>
    <row r="167" spans="1:6" s="13" customFormat="1" x14ac:dyDescent="0.2">
      <c r="A167" s="397" t="s">
        <v>1589</v>
      </c>
      <c r="B167" s="395"/>
      <c r="C167" s="395"/>
      <c r="D167" s="395"/>
      <c r="E167" s="396">
        <f>1851000+442000-260000-836000</f>
        <v>1197000</v>
      </c>
      <c r="F167" s="395" t="s">
        <v>1075</v>
      </c>
    </row>
    <row r="169" spans="1:6" x14ac:dyDescent="0.2">
      <c r="A169" s="2" t="s">
        <v>1590</v>
      </c>
    </row>
    <row r="170" spans="1:6" x14ac:dyDescent="0.2">
      <c r="A170" s="14"/>
      <c r="B170" s="13"/>
      <c r="C170" s="13"/>
      <c r="D170" s="13"/>
      <c r="E170" s="13"/>
    </row>
    <row r="171" spans="1:6" x14ac:dyDescent="0.2">
      <c r="A171" s="13" t="s">
        <v>75</v>
      </c>
      <c r="B171" s="13"/>
      <c r="C171" s="15" t="s">
        <v>76</v>
      </c>
      <c r="D171" s="252">
        <f>H134</f>
        <v>800000</v>
      </c>
      <c r="E171" s="13"/>
    </row>
    <row r="172" spans="1:6" x14ac:dyDescent="0.2">
      <c r="A172" s="13" t="s">
        <v>1511</v>
      </c>
      <c r="B172" s="13"/>
      <c r="C172" s="15" t="s">
        <v>77</v>
      </c>
      <c r="D172" s="252">
        <f>-I138</f>
        <v>-230000</v>
      </c>
      <c r="E172" s="13"/>
    </row>
    <row r="173" spans="1:6" x14ac:dyDescent="0.2">
      <c r="A173" s="13" t="s">
        <v>78</v>
      </c>
      <c r="B173" s="13"/>
      <c r="C173" s="15" t="s">
        <v>79</v>
      </c>
      <c r="D173" s="261">
        <f>D171+D172</f>
        <v>570000</v>
      </c>
      <c r="E173" s="13"/>
    </row>
    <row r="174" spans="1:6" x14ac:dyDescent="0.2">
      <c r="A174" s="13" t="s">
        <v>1209</v>
      </c>
      <c r="B174" s="13"/>
      <c r="C174" s="15" t="s">
        <v>77</v>
      </c>
      <c r="D174" s="252">
        <f>-'2 - ביאורים'!D33</f>
        <v>-61000</v>
      </c>
      <c r="E174" s="13"/>
    </row>
    <row r="175" spans="1:6" x14ac:dyDescent="0.2">
      <c r="A175" s="13" t="s">
        <v>1210</v>
      </c>
      <c r="B175" s="13"/>
      <c r="C175" s="15" t="s">
        <v>77</v>
      </c>
      <c r="D175" s="252">
        <f>-'2 - ביאורים'!D44</f>
        <v>-139000</v>
      </c>
      <c r="E175" s="13"/>
    </row>
    <row r="176" spans="1:6" x14ac:dyDescent="0.2">
      <c r="A176" s="13" t="s">
        <v>1527</v>
      </c>
      <c r="B176" s="13"/>
      <c r="C176" s="15" t="s">
        <v>2350</v>
      </c>
      <c r="D176" s="252">
        <v>14000</v>
      </c>
      <c r="E176" s="13"/>
    </row>
    <row r="177" spans="1:18" x14ac:dyDescent="0.2">
      <c r="A177" s="13" t="s">
        <v>1528</v>
      </c>
      <c r="B177" s="13"/>
      <c r="C177" s="15" t="s">
        <v>79</v>
      </c>
      <c r="D177" s="261">
        <f>SUM(D173:D176)</f>
        <v>384000</v>
      </c>
      <c r="E177" s="13"/>
    </row>
    <row r="178" spans="1:18" x14ac:dyDescent="0.2">
      <c r="A178" s="13" t="s">
        <v>1212</v>
      </c>
      <c r="B178" s="13"/>
      <c r="C178" s="15" t="s">
        <v>77</v>
      </c>
      <c r="D178" s="252">
        <v>-12000</v>
      </c>
      <c r="E178" s="13"/>
    </row>
    <row r="179" spans="1:18" x14ac:dyDescent="0.2">
      <c r="A179" s="13" t="s">
        <v>1213</v>
      </c>
      <c r="B179" s="13"/>
      <c r="C179" s="15" t="s">
        <v>76</v>
      </c>
      <c r="D179" s="252">
        <v>22000</v>
      </c>
      <c r="E179" s="13"/>
    </row>
    <row r="180" spans="1:18" x14ac:dyDescent="0.2">
      <c r="A180" s="13" t="s">
        <v>1529</v>
      </c>
      <c r="B180" s="13"/>
      <c r="C180" s="15" t="s">
        <v>79</v>
      </c>
      <c r="D180" s="261">
        <f>SUM(D177:D179)</f>
        <v>394000</v>
      </c>
      <c r="E180" s="13"/>
    </row>
    <row r="181" spans="1:18" x14ac:dyDescent="0.2">
      <c r="A181" s="13" t="s">
        <v>1530</v>
      </c>
      <c r="B181" s="13"/>
      <c r="C181" s="15" t="s">
        <v>77</v>
      </c>
      <c r="D181" s="13">
        <v>0</v>
      </c>
      <c r="E181" s="13"/>
    </row>
    <row r="182" spans="1:18" x14ac:dyDescent="0.2">
      <c r="A182" s="13" t="s">
        <v>1531</v>
      </c>
      <c r="B182" s="13"/>
      <c r="C182" s="15" t="s">
        <v>79</v>
      </c>
      <c r="D182" s="261">
        <f>D180+D181</f>
        <v>394000</v>
      </c>
      <c r="E182" s="13"/>
    </row>
    <row r="184" spans="1:18" x14ac:dyDescent="0.2">
      <c r="A184" s="1" t="s">
        <v>1610</v>
      </c>
    </row>
    <row r="186" spans="1:18" x14ac:dyDescent="0.2">
      <c r="A186" s="391" t="s">
        <v>11</v>
      </c>
      <c r="B186" s="391"/>
      <c r="C186" s="391"/>
      <c r="E186" s="392" t="s">
        <v>1611</v>
      </c>
      <c r="F186" s="392"/>
      <c r="G186" s="392"/>
    </row>
    <row r="187" spans="1:18" ht="17" thickBot="1" x14ac:dyDescent="0.25">
      <c r="L187" s="25" t="s">
        <v>14</v>
      </c>
      <c r="M187" s="25"/>
      <c r="N187" s="25"/>
      <c r="O187" s="25" t="s">
        <v>295</v>
      </c>
      <c r="P187" s="25" t="s">
        <v>11</v>
      </c>
      <c r="Q187" s="25" t="s">
        <v>12</v>
      </c>
      <c r="R187" s="25" t="s">
        <v>131</v>
      </c>
    </row>
    <row r="188" spans="1:18" x14ac:dyDescent="0.2">
      <c r="A188" s="272" t="s">
        <v>1455</v>
      </c>
      <c r="B188" s="105"/>
      <c r="C188" s="411"/>
      <c r="E188" s="180" t="s">
        <v>1458</v>
      </c>
      <c r="F188" s="100"/>
      <c r="G188" s="19"/>
      <c r="L188" s="13" t="s">
        <v>1551</v>
      </c>
      <c r="M188" s="13"/>
      <c r="N188" s="13"/>
      <c r="O188" s="252">
        <v>40000</v>
      </c>
      <c r="P188" s="252">
        <f>O188</f>
        <v>40000</v>
      </c>
      <c r="Q188" s="13"/>
      <c r="R188" s="13"/>
    </row>
    <row r="189" spans="1:18" x14ac:dyDescent="0.2">
      <c r="A189" s="262" t="s">
        <v>1612</v>
      </c>
      <c r="B189" s="13"/>
      <c r="C189" s="263">
        <f>E115+E116</f>
        <v>90000</v>
      </c>
      <c r="E189" s="262" t="s">
        <v>2943</v>
      </c>
      <c r="F189" s="13"/>
      <c r="G189" s="263">
        <f>'2 - ביאורים'!D138</f>
        <v>118000</v>
      </c>
      <c r="L189" s="13" t="s">
        <v>1552</v>
      </c>
      <c r="M189" s="13"/>
      <c r="N189" s="13"/>
      <c r="O189" s="252">
        <v>50000</v>
      </c>
      <c r="P189" s="252">
        <f>O189</f>
        <v>50000</v>
      </c>
      <c r="Q189" s="13"/>
      <c r="R189" s="13"/>
    </row>
    <row r="190" spans="1:18" x14ac:dyDescent="0.2">
      <c r="A190" s="262" t="s">
        <v>1613</v>
      </c>
      <c r="B190" s="13"/>
      <c r="C190" s="263">
        <f>E127+E129</f>
        <v>21000</v>
      </c>
      <c r="E190" s="262" t="s">
        <v>1622</v>
      </c>
      <c r="F190" s="13"/>
      <c r="G190" s="268">
        <v>77000</v>
      </c>
      <c r="L190" s="13" t="s">
        <v>1473</v>
      </c>
      <c r="M190" s="13"/>
      <c r="N190" s="13"/>
      <c r="O190" s="252">
        <v>12000</v>
      </c>
      <c r="P190" s="13"/>
      <c r="Q190" s="13"/>
      <c r="R190" s="13"/>
    </row>
    <row r="191" spans="1:18" x14ac:dyDescent="0.2">
      <c r="A191" s="262"/>
      <c r="B191" s="13"/>
      <c r="C191" s="264"/>
      <c r="E191" s="262" t="s">
        <v>1561</v>
      </c>
      <c r="F191" s="13"/>
      <c r="G191" s="268">
        <v>31000</v>
      </c>
      <c r="L191" s="13" t="s">
        <v>1474</v>
      </c>
      <c r="M191" s="13"/>
      <c r="N191" s="13"/>
      <c r="O191" s="252">
        <v>3000</v>
      </c>
      <c r="P191" s="13"/>
      <c r="Q191" s="13"/>
      <c r="R191" s="13"/>
    </row>
    <row r="192" spans="1:18" x14ac:dyDescent="0.2">
      <c r="A192" s="262"/>
      <c r="B192" s="13"/>
      <c r="C192" s="264"/>
      <c r="E192" s="262"/>
      <c r="F192" s="13"/>
      <c r="G192" s="264"/>
      <c r="L192" s="13" t="s">
        <v>1553</v>
      </c>
      <c r="M192" s="13"/>
      <c r="N192" s="13"/>
      <c r="O192" s="252">
        <v>14000</v>
      </c>
      <c r="P192" s="13"/>
      <c r="Q192" s="13"/>
      <c r="R192" s="13"/>
    </row>
    <row r="193" spans="1:18" ht="17" thickBot="1" x14ac:dyDescent="0.25">
      <c r="A193" s="262"/>
      <c r="B193" s="13"/>
      <c r="C193" s="264"/>
      <c r="E193" s="265" t="s">
        <v>1466</v>
      </c>
      <c r="F193" s="266"/>
      <c r="G193" s="267">
        <f>SUM(G189:G191)</f>
        <v>226000</v>
      </c>
      <c r="L193" s="13" t="s">
        <v>2337</v>
      </c>
      <c r="M193" s="13"/>
      <c r="N193" s="13"/>
      <c r="O193" s="252">
        <v>11000</v>
      </c>
      <c r="P193" s="13"/>
      <c r="Q193" s="13"/>
      <c r="R193" s="13"/>
    </row>
    <row r="194" spans="1:18" ht="17" thickBot="1" x14ac:dyDescent="0.25">
      <c r="A194" s="265" t="s">
        <v>1463</v>
      </c>
      <c r="B194" s="266"/>
      <c r="C194" s="267">
        <f>SUM(C189:C193)</f>
        <v>111000</v>
      </c>
      <c r="I194" s="498" t="s">
        <v>2950</v>
      </c>
      <c r="J194" s="498"/>
      <c r="K194" s="498"/>
      <c r="L194" s="13" t="s">
        <v>269</v>
      </c>
      <c r="M194" s="13"/>
      <c r="N194" s="13"/>
      <c r="O194" s="252">
        <v>34000</v>
      </c>
      <c r="P194" s="13"/>
      <c r="Q194" s="13"/>
      <c r="R194" s="13"/>
    </row>
    <row r="195" spans="1:18" ht="17" thickBot="1" x14ac:dyDescent="0.25">
      <c r="A195" s="13"/>
      <c r="B195" s="13"/>
      <c r="C195" s="13"/>
      <c r="E195" s="272" t="s">
        <v>1545</v>
      </c>
      <c r="F195" s="105"/>
      <c r="G195" s="411"/>
      <c r="H195" s="13"/>
      <c r="L195" s="13" t="s">
        <v>1274</v>
      </c>
      <c r="M195" s="13"/>
      <c r="N195" s="13"/>
      <c r="O195" s="252">
        <v>22000</v>
      </c>
      <c r="P195" s="13"/>
      <c r="Q195" s="13"/>
      <c r="R195" s="13"/>
    </row>
    <row r="196" spans="1:18" x14ac:dyDescent="0.2">
      <c r="A196" s="272" t="s">
        <v>1456</v>
      </c>
      <c r="B196" s="105"/>
      <c r="C196" s="411"/>
      <c r="E196" s="262" t="s">
        <v>28</v>
      </c>
      <c r="F196" s="13"/>
      <c r="G196" s="263">
        <f>F143</f>
        <v>34000</v>
      </c>
      <c r="H196" s="13"/>
      <c r="I196" s="13" t="s">
        <v>1624</v>
      </c>
      <c r="J196" s="15" t="s">
        <v>131</v>
      </c>
      <c r="L196" s="13" t="s">
        <v>1475</v>
      </c>
      <c r="M196" s="13"/>
      <c r="N196" s="13"/>
      <c r="O196" s="252">
        <v>28000</v>
      </c>
      <c r="P196" s="13"/>
      <c r="Q196" s="13"/>
      <c r="R196" s="13"/>
    </row>
    <row r="197" spans="1:18" ht="17" thickBot="1" x14ac:dyDescent="0.25">
      <c r="A197" s="262" t="s">
        <v>22</v>
      </c>
      <c r="B197" s="13"/>
      <c r="C197" s="268">
        <v>1650000</v>
      </c>
      <c r="E197" s="265"/>
      <c r="F197" s="266"/>
      <c r="G197" s="271"/>
      <c r="H197" s="13"/>
      <c r="I197" s="13" t="s">
        <v>2952</v>
      </c>
      <c r="J197" s="15" t="s">
        <v>2951</v>
      </c>
      <c r="L197" s="13" t="s">
        <v>1661</v>
      </c>
      <c r="M197" s="13"/>
      <c r="N197" s="13"/>
      <c r="O197" s="252">
        <v>14000</v>
      </c>
      <c r="P197" s="13"/>
      <c r="Q197" s="13"/>
      <c r="R197" s="13"/>
    </row>
    <row r="198" spans="1:18" ht="17" thickBot="1" x14ac:dyDescent="0.25">
      <c r="A198" s="262" t="s">
        <v>1462</v>
      </c>
      <c r="B198" s="13"/>
      <c r="C198" s="263">
        <f>E140</f>
        <v>90000</v>
      </c>
      <c r="E198" s="13"/>
      <c r="F198" s="13"/>
      <c r="G198" s="13"/>
      <c r="H198" s="13"/>
      <c r="I198" s="496" t="s">
        <v>1624</v>
      </c>
      <c r="J198" s="496" t="s">
        <v>1577</v>
      </c>
      <c r="L198" s="13" t="s">
        <v>267</v>
      </c>
      <c r="M198" s="13"/>
      <c r="N198" s="13"/>
      <c r="O198" s="252">
        <v>11000</v>
      </c>
      <c r="P198" s="13"/>
      <c r="Q198" s="13"/>
      <c r="R198" s="13"/>
    </row>
    <row r="199" spans="1:18" x14ac:dyDescent="0.2">
      <c r="A199" s="262"/>
      <c r="B199" s="13"/>
      <c r="C199" s="264"/>
      <c r="E199" s="272" t="s">
        <v>131</v>
      </c>
      <c r="F199" s="495"/>
      <c r="G199" s="497">
        <f>1197000+394000</f>
        <v>1591000</v>
      </c>
      <c r="H199" s="15" t="s">
        <v>79</v>
      </c>
      <c r="I199" s="252">
        <f>D182</f>
        <v>394000</v>
      </c>
      <c r="J199" s="15" t="s">
        <v>1623</v>
      </c>
      <c r="K199" s="13"/>
      <c r="L199" s="13" t="s">
        <v>27</v>
      </c>
      <c r="M199" s="13"/>
      <c r="N199" s="13"/>
      <c r="O199" s="252">
        <v>88000</v>
      </c>
      <c r="P199" s="13"/>
      <c r="Q199" s="252">
        <v>88000</v>
      </c>
      <c r="R199" s="13"/>
    </row>
    <row r="200" spans="1:18" ht="17" thickBot="1" x14ac:dyDescent="0.25">
      <c r="A200" s="265" t="s">
        <v>1464</v>
      </c>
      <c r="B200" s="266"/>
      <c r="C200" s="269">
        <f>C197+C198</f>
        <v>1740000</v>
      </c>
      <c r="E200" s="262"/>
      <c r="F200" s="12"/>
      <c r="G200" s="389"/>
      <c r="H200" s="13"/>
      <c r="I200" s="317" t="s">
        <v>1625</v>
      </c>
      <c r="J200" s="12"/>
      <c r="K200" s="13"/>
      <c r="L200" s="13" t="s">
        <v>19</v>
      </c>
      <c r="M200" s="13"/>
      <c r="N200" s="13"/>
      <c r="O200" s="252">
        <v>14000</v>
      </c>
      <c r="P200" s="252">
        <f>O200</f>
        <v>14000</v>
      </c>
      <c r="Q200" s="13"/>
      <c r="R200" s="13"/>
    </row>
    <row r="201" spans="1:18" ht="17" thickBot="1" x14ac:dyDescent="0.25">
      <c r="A201" s="13"/>
      <c r="B201" s="13"/>
      <c r="C201" s="13"/>
      <c r="E201" s="265"/>
      <c r="F201" s="493"/>
      <c r="G201" s="494"/>
      <c r="I201" s="317" t="s">
        <v>335</v>
      </c>
      <c r="J201" s="12"/>
      <c r="L201" s="13" t="s">
        <v>2338</v>
      </c>
      <c r="M201" s="13"/>
      <c r="N201" s="13"/>
      <c r="O201" s="252">
        <v>1000</v>
      </c>
      <c r="P201" s="13"/>
      <c r="Q201" s="13"/>
      <c r="R201" s="13"/>
    </row>
    <row r="202" spans="1:18" x14ac:dyDescent="0.2">
      <c r="A202" s="13"/>
      <c r="B202" s="13"/>
      <c r="C202" s="13"/>
      <c r="E202" s="13"/>
      <c r="F202" s="13"/>
      <c r="G202" s="13"/>
      <c r="H202" s="13"/>
      <c r="I202" s="12"/>
      <c r="J202" s="12"/>
      <c r="K202" s="13"/>
      <c r="L202" s="13" t="s">
        <v>2339</v>
      </c>
      <c r="M202" s="13"/>
      <c r="N202" s="13"/>
      <c r="O202" s="252">
        <v>7000</v>
      </c>
      <c r="P202" s="252">
        <f>O202</f>
        <v>7000</v>
      </c>
      <c r="Q202" s="13"/>
      <c r="R202" s="13"/>
    </row>
    <row r="203" spans="1:18" x14ac:dyDescent="0.2">
      <c r="A203" s="13" t="s">
        <v>1457</v>
      </c>
      <c r="B203" s="13"/>
      <c r="C203" s="270">
        <f>C194+C200</f>
        <v>1851000</v>
      </c>
      <c r="E203" s="13" t="s">
        <v>1459</v>
      </c>
      <c r="F203" s="13"/>
      <c r="G203" s="270">
        <f>G193+G196+G199</f>
        <v>1851000</v>
      </c>
      <c r="H203" s="13"/>
      <c r="I203" s="12"/>
      <c r="J203" s="12"/>
      <c r="K203" s="13"/>
      <c r="L203" s="13" t="s">
        <v>1261</v>
      </c>
      <c r="M203" s="13"/>
      <c r="N203" s="13"/>
      <c r="O203" s="252">
        <v>10000</v>
      </c>
      <c r="P203" s="13"/>
      <c r="Q203" s="13"/>
      <c r="R203" s="13"/>
    </row>
    <row r="204" spans="1:18" x14ac:dyDescent="0.2">
      <c r="L204" s="13" t="s">
        <v>1567</v>
      </c>
      <c r="M204" s="13"/>
      <c r="N204" s="13"/>
      <c r="O204" s="252">
        <v>13000</v>
      </c>
      <c r="P204" s="13"/>
      <c r="Q204" s="13"/>
      <c r="R204" s="13"/>
    </row>
    <row r="205" spans="1:18" x14ac:dyDescent="0.2">
      <c r="L205" s="13" t="s">
        <v>1555</v>
      </c>
      <c r="M205" s="13"/>
      <c r="N205" s="13"/>
      <c r="O205" s="252">
        <v>23000</v>
      </c>
      <c r="P205" s="13"/>
      <c r="Q205" s="13"/>
      <c r="R205" s="13"/>
    </row>
    <row r="206" spans="1:18" x14ac:dyDescent="0.2">
      <c r="A206" s="498" t="s">
        <v>2944</v>
      </c>
      <c r="L206" s="13" t="s">
        <v>1556</v>
      </c>
      <c r="M206" s="13"/>
      <c r="N206" s="13"/>
      <c r="O206" s="252">
        <v>52000</v>
      </c>
      <c r="P206" s="12"/>
      <c r="Q206" s="12"/>
      <c r="R206" s="12"/>
    </row>
    <row r="207" spans="1:18" x14ac:dyDescent="0.2">
      <c r="A207" s="1" t="s">
        <v>2945</v>
      </c>
      <c r="L207" s="13" t="s">
        <v>75</v>
      </c>
      <c r="M207" s="13"/>
      <c r="N207" s="13"/>
      <c r="O207" s="252">
        <v>800000</v>
      </c>
      <c r="P207" s="13"/>
      <c r="Q207" s="13"/>
      <c r="R207" s="13"/>
    </row>
    <row r="208" spans="1:18" x14ac:dyDescent="0.2">
      <c r="A208" s="1" t="s">
        <v>2946</v>
      </c>
      <c r="L208" s="13" t="s">
        <v>254</v>
      </c>
      <c r="M208" s="13"/>
      <c r="N208" s="13"/>
      <c r="O208" s="252">
        <v>100000</v>
      </c>
      <c r="P208" s="252">
        <f>O208</f>
        <v>100000</v>
      </c>
      <c r="Q208" s="12"/>
      <c r="R208" s="12"/>
    </row>
    <row r="209" spans="1:18" x14ac:dyDescent="0.2">
      <c r="A209" s="1" t="s">
        <v>2947</v>
      </c>
      <c r="D209" s="24">
        <v>260000</v>
      </c>
      <c r="F209" s="1" t="s">
        <v>2948</v>
      </c>
      <c r="L209" s="13" t="s">
        <v>1557</v>
      </c>
      <c r="M209" s="13"/>
      <c r="N209" s="13"/>
      <c r="O209" s="252">
        <v>1400000</v>
      </c>
      <c r="P209" s="252">
        <f>O209</f>
        <v>1400000</v>
      </c>
      <c r="Q209" s="12"/>
      <c r="R209" s="12"/>
    </row>
    <row r="210" spans="1:18" x14ac:dyDescent="0.2">
      <c r="A210" s="1" t="s">
        <v>2953</v>
      </c>
      <c r="L210" s="13" t="s">
        <v>2340</v>
      </c>
      <c r="M210" s="13"/>
      <c r="N210" s="13"/>
      <c r="O210" s="252">
        <v>2000</v>
      </c>
      <c r="P210" s="12"/>
      <c r="Q210" s="252">
        <f>O210</f>
        <v>2000</v>
      </c>
      <c r="R210" s="12"/>
    </row>
    <row r="211" spans="1:18" x14ac:dyDescent="0.2">
      <c r="L211" s="13" t="s">
        <v>1511</v>
      </c>
      <c r="M211" s="13"/>
      <c r="N211" s="13"/>
      <c r="O211" s="252">
        <v>230000</v>
      </c>
      <c r="P211" s="13"/>
      <c r="Q211" s="13"/>
      <c r="R211" s="13"/>
    </row>
    <row r="212" spans="1:18" x14ac:dyDescent="0.2">
      <c r="A212" s="1" t="s">
        <v>2949</v>
      </c>
      <c r="L212" s="13" t="s">
        <v>1558</v>
      </c>
      <c r="M212" s="13"/>
      <c r="N212" s="13"/>
      <c r="O212" s="252">
        <v>150000</v>
      </c>
      <c r="P212" s="252">
        <f>O212</f>
        <v>150000</v>
      </c>
      <c r="Q212" s="12"/>
      <c r="R212" s="12"/>
    </row>
    <row r="213" spans="1:18" x14ac:dyDescent="0.2">
      <c r="D213" s="1" t="s">
        <v>2954</v>
      </c>
      <c r="L213" s="13" t="s">
        <v>24</v>
      </c>
      <c r="M213" s="13"/>
      <c r="N213" s="13"/>
      <c r="O213" s="252">
        <v>90000</v>
      </c>
      <c r="P213" s="252">
        <f>O213</f>
        <v>90000</v>
      </c>
      <c r="Q213" s="12"/>
      <c r="R213" s="12"/>
    </row>
    <row r="214" spans="1:18" x14ac:dyDescent="0.2">
      <c r="D214" s="1" t="s">
        <v>2955</v>
      </c>
      <c r="L214" s="13" t="s">
        <v>2341</v>
      </c>
      <c r="M214" s="13"/>
      <c r="N214" s="13"/>
      <c r="O214" s="255" t="s">
        <v>31</v>
      </c>
      <c r="P214" s="13"/>
      <c r="Q214" s="13"/>
      <c r="R214" s="256" t="str">
        <f>O214</f>
        <v>?</v>
      </c>
    </row>
    <row r="215" spans="1:18" x14ac:dyDescent="0.2">
      <c r="L215" s="13" t="s">
        <v>2342</v>
      </c>
      <c r="M215" s="13"/>
      <c r="N215" s="13"/>
      <c r="O215" s="252">
        <v>30000</v>
      </c>
      <c r="P215" s="13"/>
      <c r="Q215" s="252">
        <f>O215</f>
        <v>30000</v>
      </c>
      <c r="R215" s="13"/>
    </row>
    <row r="216" spans="1:18" x14ac:dyDescent="0.2">
      <c r="L216" s="13" t="s">
        <v>28</v>
      </c>
      <c r="M216" s="13"/>
      <c r="N216" s="13"/>
      <c r="O216" s="252">
        <v>34000</v>
      </c>
      <c r="P216" s="13"/>
      <c r="Q216" s="252">
        <f>O216</f>
        <v>34000</v>
      </c>
      <c r="R216" s="13"/>
    </row>
    <row r="217" spans="1:18" x14ac:dyDescent="0.2">
      <c r="L217" s="13" t="s">
        <v>21</v>
      </c>
      <c r="M217" s="13"/>
      <c r="N217" s="13"/>
      <c r="O217" s="252">
        <v>75000</v>
      </c>
      <c r="P217" s="13"/>
      <c r="Q217" s="252">
        <f>O217</f>
        <v>75000</v>
      </c>
      <c r="R217" s="13"/>
    </row>
    <row r="218" spans="1:18" x14ac:dyDescent="0.2">
      <c r="L218" s="13" t="s">
        <v>1561</v>
      </c>
      <c r="M218" s="13"/>
      <c r="N218" s="13"/>
      <c r="O218" s="252">
        <v>31000</v>
      </c>
      <c r="P218" s="13"/>
      <c r="Q218" s="252">
        <f>O218</f>
        <v>31000</v>
      </c>
      <c r="R218" s="13"/>
    </row>
    <row r="219" spans="1:18" ht="17" thickBot="1" x14ac:dyDescent="0.25">
      <c r="L219" s="1" t="s">
        <v>281</v>
      </c>
      <c r="P219" s="257">
        <f>SUM(P188:P218)</f>
        <v>1851000</v>
      </c>
      <c r="Q219" s="257">
        <f>SUM(Q188:Q218)</f>
        <v>260000</v>
      </c>
      <c r="R219" s="258" t="s">
        <v>31</v>
      </c>
    </row>
    <row r="220" spans="1:18" ht="18" thickBot="1" x14ac:dyDescent="0.25">
      <c r="A220" s="500" t="s">
        <v>2956</v>
      </c>
      <c r="B220" s="501"/>
      <c r="C220" s="501"/>
      <c r="D220" s="501"/>
      <c r="E220" s="501"/>
      <c r="F220" s="501"/>
      <c r="G220" s="501"/>
      <c r="H220" s="502"/>
    </row>
    <row r="221" spans="1:18" x14ac:dyDescent="0.2">
      <c r="A221" s="1" t="s">
        <v>2957</v>
      </c>
    </row>
    <row r="222" spans="1:18" x14ac:dyDescent="0.2">
      <c r="A222" s="1" t="s">
        <v>2958</v>
      </c>
    </row>
    <row r="223" spans="1:18" x14ac:dyDescent="0.2">
      <c r="A223" s="1" t="s">
        <v>2959</v>
      </c>
    </row>
    <row r="225" spans="1:9" x14ac:dyDescent="0.2">
      <c r="A225" s="1" t="s">
        <v>2962</v>
      </c>
      <c r="F225" s="1" t="s">
        <v>2961</v>
      </c>
    </row>
    <row r="227" spans="1:9" x14ac:dyDescent="0.2">
      <c r="B227" s="1" t="s">
        <v>1215</v>
      </c>
      <c r="D227" s="6" t="s">
        <v>76</v>
      </c>
      <c r="G227" s="1" t="s">
        <v>1223</v>
      </c>
      <c r="I227" s="6" t="s">
        <v>76</v>
      </c>
    </row>
    <row r="228" spans="1:9" x14ac:dyDescent="0.2">
      <c r="B228" s="1" t="s">
        <v>123</v>
      </c>
      <c r="D228" s="6" t="s">
        <v>77</v>
      </c>
      <c r="G228" s="1" t="s">
        <v>1224</v>
      </c>
      <c r="I228" s="6" t="s">
        <v>76</v>
      </c>
    </row>
    <row r="229" spans="1:9" ht="17" thickBot="1" x14ac:dyDescent="0.25">
      <c r="B229" s="1" t="s">
        <v>1216</v>
      </c>
      <c r="D229" s="6" t="s">
        <v>77</v>
      </c>
      <c r="G229" s="1" t="s">
        <v>107</v>
      </c>
      <c r="I229" s="6" t="s">
        <v>77</v>
      </c>
    </row>
    <row r="230" spans="1:9" ht="17" thickBot="1" x14ac:dyDescent="0.25">
      <c r="B230" s="1" t="s">
        <v>2960</v>
      </c>
      <c r="D230" s="503" t="s">
        <v>79</v>
      </c>
      <c r="G230" s="1" t="s">
        <v>108</v>
      </c>
      <c r="I230" s="6" t="s">
        <v>77</v>
      </c>
    </row>
    <row r="231" spans="1:9" ht="17" thickBot="1" x14ac:dyDescent="0.25">
      <c r="G231" s="1" t="s">
        <v>89</v>
      </c>
      <c r="I231" s="503" t="s">
        <v>79</v>
      </c>
    </row>
    <row r="232" spans="1:9" x14ac:dyDescent="0.2">
      <c r="A232" s="1" t="s">
        <v>2963</v>
      </c>
    </row>
    <row r="234" spans="1:9" x14ac:dyDescent="0.2">
      <c r="B234" s="1" t="s">
        <v>2964</v>
      </c>
      <c r="D234" s="6" t="s">
        <v>76</v>
      </c>
    </row>
    <row r="235" spans="1:9" x14ac:dyDescent="0.2">
      <c r="B235" s="1" t="s">
        <v>2965</v>
      </c>
      <c r="D235" s="6" t="s">
        <v>76</v>
      </c>
    </row>
    <row r="236" spans="1:9" ht="17" thickBot="1" x14ac:dyDescent="0.25">
      <c r="B236" s="1" t="s">
        <v>2966</v>
      </c>
      <c r="D236" s="6" t="s">
        <v>77</v>
      </c>
    </row>
    <row r="237" spans="1:9" ht="17" thickBot="1" x14ac:dyDescent="0.25">
      <c r="B237" s="1" t="s">
        <v>2967</v>
      </c>
      <c r="D237" s="503" t="s">
        <v>79</v>
      </c>
    </row>
    <row r="238" spans="1:9" ht="17" thickBot="1" x14ac:dyDescent="0.25"/>
    <row r="239" spans="1:9" ht="17" thickBot="1" x14ac:dyDescent="0.25">
      <c r="A239" s="283" t="s">
        <v>2968</v>
      </c>
      <c r="B239" s="94"/>
      <c r="C239" s="94"/>
      <c r="D239" s="94"/>
      <c r="E239" s="94"/>
      <c r="F239" s="94"/>
      <c r="G239" s="94"/>
      <c r="H239" s="95"/>
    </row>
    <row r="241" spans="1:5" x14ac:dyDescent="0.2">
      <c r="A241" s="1" t="s">
        <v>2969</v>
      </c>
    </row>
    <row r="242" spans="1:5" x14ac:dyDescent="0.2">
      <c r="D242" s="6" t="s">
        <v>329</v>
      </c>
      <c r="E242" s="6" t="s">
        <v>1756</v>
      </c>
    </row>
    <row r="243" spans="1:5" x14ac:dyDescent="0.2">
      <c r="C243" s="36" t="s">
        <v>843</v>
      </c>
      <c r="D243" s="36" t="s">
        <v>129</v>
      </c>
      <c r="E243" s="36" t="s">
        <v>102</v>
      </c>
    </row>
    <row r="244" spans="1:5" x14ac:dyDescent="0.2">
      <c r="A244" s="1" t="s">
        <v>1599</v>
      </c>
      <c r="C244" s="44">
        <v>900000</v>
      </c>
    </row>
    <row r="245" spans="1:5" x14ac:dyDescent="0.2">
      <c r="A245" s="1" t="s">
        <v>107</v>
      </c>
      <c r="C245" s="44">
        <v>20000</v>
      </c>
    </row>
    <row r="246" spans="1:5" x14ac:dyDescent="0.2">
      <c r="A246" s="1" t="s">
        <v>268</v>
      </c>
      <c r="C246" s="44">
        <v>340000</v>
      </c>
    </row>
    <row r="247" spans="1:5" x14ac:dyDescent="0.2">
      <c r="A247" s="1" t="s">
        <v>108</v>
      </c>
      <c r="C247" s="44">
        <v>14000</v>
      </c>
    </row>
    <row r="248" spans="1:5" x14ac:dyDescent="0.2">
      <c r="A248" s="1" t="s">
        <v>2970</v>
      </c>
      <c r="C248" s="44">
        <v>12000</v>
      </c>
    </row>
    <row r="249" spans="1:5" x14ac:dyDescent="0.2">
      <c r="A249" s="1" t="s">
        <v>1216</v>
      </c>
      <c r="C249" s="44">
        <v>9000</v>
      </c>
    </row>
    <row r="250" spans="1:5" x14ac:dyDescent="0.2">
      <c r="A250" s="1" t="s">
        <v>2971</v>
      </c>
      <c r="C250" s="44">
        <v>24000</v>
      </c>
    </row>
    <row r="251" spans="1:5" x14ac:dyDescent="0.2">
      <c r="A251" s="1" t="s">
        <v>2972</v>
      </c>
      <c r="C251" s="44">
        <v>32000</v>
      </c>
    </row>
    <row r="252" spans="1:5" x14ac:dyDescent="0.2">
      <c r="A252" s="1" t="s">
        <v>2973</v>
      </c>
      <c r="C252" s="44">
        <v>17000</v>
      </c>
    </row>
    <row r="253" spans="1:5" x14ac:dyDescent="0.2">
      <c r="A253" s="1" t="s">
        <v>2974</v>
      </c>
      <c r="C253" s="44">
        <v>10000</v>
      </c>
    </row>
    <row r="254" spans="1:5" x14ac:dyDescent="0.2">
      <c r="A254" s="1" t="s">
        <v>116</v>
      </c>
      <c r="C254" s="44">
        <v>13000</v>
      </c>
    </row>
    <row r="256" spans="1:5" x14ac:dyDescent="0.2">
      <c r="A256" s="1" t="s">
        <v>204</v>
      </c>
    </row>
    <row r="257" spans="1:5" x14ac:dyDescent="0.2">
      <c r="A257" s="1" t="s">
        <v>2975</v>
      </c>
    </row>
    <row r="258" spans="1:5" x14ac:dyDescent="0.2">
      <c r="A258" s="1" t="s">
        <v>2976</v>
      </c>
    </row>
    <row r="260" spans="1:5" x14ac:dyDescent="0.2">
      <c r="D260" s="6" t="s">
        <v>329</v>
      </c>
      <c r="E260" s="6" t="s">
        <v>1756</v>
      </c>
    </row>
    <row r="261" spans="1:5" x14ac:dyDescent="0.2">
      <c r="C261" s="36" t="s">
        <v>843</v>
      </c>
      <c r="D261" s="36" t="s">
        <v>129</v>
      </c>
      <c r="E261" s="36" t="s">
        <v>102</v>
      </c>
    </row>
    <row r="262" spans="1:5" x14ac:dyDescent="0.2">
      <c r="A262" s="1" t="s">
        <v>1599</v>
      </c>
      <c r="C262" s="44">
        <v>900000</v>
      </c>
      <c r="D262" s="44">
        <f>C262</f>
        <v>900000</v>
      </c>
      <c r="E262" s="6"/>
    </row>
    <row r="263" spans="1:5" x14ac:dyDescent="0.2">
      <c r="A263" s="13" t="s">
        <v>107</v>
      </c>
      <c r="B263" s="13"/>
      <c r="C263" s="256">
        <v>20000</v>
      </c>
      <c r="D263" s="15"/>
      <c r="E263" s="504">
        <f>-C263</f>
        <v>-20000</v>
      </c>
    </row>
    <row r="264" spans="1:5" x14ac:dyDescent="0.2">
      <c r="A264" s="1" t="s">
        <v>2977</v>
      </c>
      <c r="C264" s="44">
        <v>340000</v>
      </c>
      <c r="D264" s="6"/>
      <c r="E264" s="504">
        <f>C264</f>
        <v>340000</v>
      </c>
    </row>
    <row r="265" spans="1:5" x14ac:dyDescent="0.2">
      <c r="A265" s="1" t="s">
        <v>108</v>
      </c>
      <c r="C265" s="44">
        <v>14000</v>
      </c>
      <c r="D265" s="6"/>
      <c r="E265" s="505">
        <f>-C265</f>
        <v>-14000</v>
      </c>
    </row>
    <row r="266" spans="1:5" x14ac:dyDescent="0.2">
      <c r="A266" s="1" t="s">
        <v>2979</v>
      </c>
      <c r="C266" s="44">
        <v>12000</v>
      </c>
      <c r="D266" s="6" t="s">
        <v>2978</v>
      </c>
      <c r="E266" s="6"/>
    </row>
    <row r="267" spans="1:5" s="13" customFormat="1" x14ac:dyDescent="0.2">
      <c r="A267" s="13" t="s">
        <v>1216</v>
      </c>
      <c r="C267" s="256">
        <v>9000</v>
      </c>
      <c r="D267" s="256">
        <f>-C267</f>
        <v>-9000</v>
      </c>
      <c r="E267" s="15"/>
    </row>
    <row r="268" spans="1:5" x14ac:dyDescent="0.2">
      <c r="A268" s="1" t="s">
        <v>2971</v>
      </c>
      <c r="C268" s="44">
        <v>24000</v>
      </c>
      <c r="D268" s="6"/>
      <c r="E268" s="44">
        <f>C268</f>
        <v>24000</v>
      </c>
    </row>
    <row r="269" spans="1:5" x14ac:dyDescent="0.2">
      <c r="A269" s="1" t="s">
        <v>2972</v>
      </c>
      <c r="C269" s="44">
        <v>32000</v>
      </c>
      <c r="D269" s="6"/>
      <c r="E269" s="44">
        <f>-C269</f>
        <v>-32000</v>
      </c>
    </row>
    <row r="270" spans="1:5" x14ac:dyDescent="0.2">
      <c r="A270" s="1" t="s">
        <v>2973</v>
      </c>
      <c r="C270" s="44">
        <v>17000</v>
      </c>
      <c r="D270" s="6"/>
      <c r="E270" s="505">
        <f>C270</f>
        <v>17000</v>
      </c>
    </row>
    <row r="271" spans="1:5" x14ac:dyDescent="0.2">
      <c r="A271" s="1" t="s">
        <v>2974</v>
      </c>
      <c r="C271" s="44">
        <v>10000</v>
      </c>
      <c r="D271" s="6" t="s">
        <v>1576</v>
      </c>
      <c r="E271" s="6"/>
    </row>
    <row r="272" spans="1:5" x14ac:dyDescent="0.2">
      <c r="A272" s="1" t="s">
        <v>2980</v>
      </c>
      <c r="C272" s="44">
        <v>13000</v>
      </c>
      <c r="D272" s="6"/>
      <c r="E272" s="87" t="s">
        <v>1213</v>
      </c>
    </row>
    <row r="273" spans="1:5" x14ac:dyDescent="0.2">
      <c r="A273" s="1" t="s">
        <v>281</v>
      </c>
      <c r="C273" s="44"/>
      <c r="D273" s="134">
        <f>SUM(D262:D272)</f>
        <v>891000</v>
      </c>
      <c r="E273" s="134">
        <f>SUM(E262:E272)</f>
        <v>315000</v>
      </c>
    </row>
    <row r="275" spans="1:5" x14ac:dyDescent="0.2">
      <c r="A275" s="16" t="s">
        <v>89</v>
      </c>
      <c r="B275" s="1" t="s">
        <v>2981</v>
      </c>
    </row>
    <row r="277" spans="1:5" x14ac:dyDescent="0.2">
      <c r="A277" s="1" t="s">
        <v>2982</v>
      </c>
    </row>
    <row r="278" spans="1:5" x14ac:dyDescent="0.2">
      <c r="B278" s="1" t="s">
        <v>129</v>
      </c>
      <c r="C278" s="44">
        <f>D273</f>
        <v>891000</v>
      </c>
    </row>
    <row r="279" spans="1:5" x14ac:dyDescent="0.2">
      <c r="B279" s="1" t="s">
        <v>102</v>
      </c>
      <c r="C279" s="44">
        <f>-E273</f>
        <v>-315000</v>
      </c>
    </row>
    <row r="280" spans="1:5" x14ac:dyDescent="0.2">
      <c r="B280" s="1" t="s">
        <v>78</v>
      </c>
      <c r="C280" s="134">
        <f>C278+C279</f>
        <v>576000</v>
      </c>
    </row>
    <row r="282" spans="1:5" x14ac:dyDescent="0.2">
      <c r="A282" s="1" t="s">
        <v>2983</v>
      </c>
    </row>
    <row r="283" spans="1:5" x14ac:dyDescent="0.2">
      <c r="A283" s="1" t="s">
        <v>2984</v>
      </c>
    </row>
    <row r="284" spans="1:5" x14ac:dyDescent="0.2">
      <c r="A284" s="1" t="s">
        <v>2985</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2E3F2F-8B32-2E48-87C8-1D57C2D4F645}">
  <dimension ref="A1:L138"/>
  <sheetViews>
    <sheetView rightToLeft="1" zoomScale="374" workbookViewId="0">
      <selection activeCell="C23" sqref="C23"/>
    </sheetView>
  </sheetViews>
  <sheetFormatPr baseColWidth="10" defaultRowHeight="16" x14ac:dyDescent="0.2"/>
  <cols>
    <col min="1" max="16384" width="10.83203125" style="1"/>
  </cols>
  <sheetData>
    <row r="1" spans="1:5" x14ac:dyDescent="0.2">
      <c r="A1" s="1" t="s">
        <v>1591</v>
      </c>
    </row>
    <row r="3" spans="1:5" x14ac:dyDescent="0.2">
      <c r="A3" s="2" t="s">
        <v>2355</v>
      </c>
    </row>
    <row r="4" spans="1:5" x14ac:dyDescent="0.2">
      <c r="A4" s="1" t="s">
        <v>1592</v>
      </c>
    </row>
    <row r="5" spans="1:5" x14ac:dyDescent="0.2">
      <c r="A5" s="1" t="s">
        <v>1593</v>
      </c>
    </row>
    <row r="6" spans="1:5" x14ac:dyDescent="0.2">
      <c r="B6" s="1" t="s">
        <v>1594</v>
      </c>
      <c r="E6" s="6" t="s">
        <v>76</v>
      </c>
    </row>
    <row r="7" spans="1:5" x14ac:dyDescent="0.2">
      <c r="B7" s="1" t="s">
        <v>1595</v>
      </c>
      <c r="E7" s="6" t="s">
        <v>77</v>
      </c>
    </row>
    <row r="8" spans="1:5" x14ac:dyDescent="0.2">
      <c r="B8" s="1" t="s">
        <v>82</v>
      </c>
      <c r="E8" s="6" t="s">
        <v>77</v>
      </c>
    </row>
    <row r="9" spans="1:5" x14ac:dyDescent="0.2">
      <c r="B9" s="1" t="s">
        <v>1596</v>
      </c>
      <c r="E9" s="6" t="s">
        <v>79</v>
      </c>
    </row>
    <row r="11" spans="1:5" x14ac:dyDescent="0.2">
      <c r="A11" s="1" t="s">
        <v>1597</v>
      </c>
    </row>
    <row r="13" spans="1:5" x14ac:dyDescent="0.2">
      <c r="A13" s="1" t="s">
        <v>1598</v>
      </c>
    </row>
    <row r="15" spans="1:5" x14ac:dyDescent="0.2">
      <c r="B15" s="1" t="s">
        <v>1599</v>
      </c>
      <c r="D15" s="41">
        <v>500000</v>
      </c>
    </row>
    <row r="16" spans="1:5" x14ac:dyDescent="0.2">
      <c r="B16" s="1" t="s">
        <v>123</v>
      </c>
      <c r="D16" s="41">
        <v>70000</v>
      </c>
    </row>
    <row r="17" spans="1:5" x14ac:dyDescent="0.2">
      <c r="B17" s="1" t="s">
        <v>1216</v>
      </c>
      <c r="D17" s="41">
        <v>20000</v>
      </c>
    </row>
    <row r="19" spans="1:5" x14ac:dyDescent="0.2">
      <c r="A19" s="1" t="s">
        <v>1600</v>
      </c>
    </row>
    <row r="21" spans="1:5" x14ac:dyDescent="0.2">
      <c r="B21" s="1" t="s">
        <v>1594</v>
      </c>
      <c r="E21" s="41">
        <f>D15</f>
        <v>500000</v>
      </c>
    </row>
    <row r="22" spans="1:5" x14ac:dyDescent="0.2">
      <c r="B22" s="1" t="s">
        <v>1595</v>
      </c>
      <c r="E22" s="44">
        <f>-D17</f>
        <v>-20000</v>
      </c>
    </row>
    <row r="23" spans="1:5" x14ac:dyDescent="0.2">
      <c r="B23" s="1" t="s">
        <v>82</v>
      </c>
      <c r="E23" s="44">
        <f>-D16</f>
        <v>-70000</v>
      </c>
    </row>
    <row r="24" spans="1:5" x14ac:dyDescent="0.2">
      <c r="B24" s="1" t="s">
        <v>1596</v>
      </c>
      <c r="E24" s="55">
        <f>SUM(E21:E23)</f>
        <v>410000</v>
      </c>
    </row>
    <row r="26" spans="1:5" x14ac:dyDescent="0.2">
      <c r="A26" s="2" t="s">
        <v>1209</v>
      </c>
    </row>
    <row r="27" spans="1:5" x14ac:dyDescent="0.2">
      <c r="A27" s="1" t="s">
        <v>1601</v>
      </c>
    </row>
    <row r="29" spans="1:5" x14ac:dyDescent="0.2">
      <c r="A29" s="1" t="s">
        <v>1553</v>
      </c>
      <c r="D29" s="44">
        <f>'2 - הרצאה'!I119</f>
        <v>14000</v>
      </c>
    </row>
    <row r="30" spans="1:5" x14ac:dyDescent="0.2">
      <c r="A30" s="1" t="s">
        <v>1602</v>
      </c>
      <c r="D30" s="44">
        <f>'2 - הרצאה'!I120</f>
        <v>11000</v>
      </c>
    </row>
    <row r="31" spans="1:5" x14ac:dyDescent="0.2">
      <c r="A31" s="1" t="s">
        <v>1567</v>
      </c>
      <c r="D31" s="44">
        <f>'2 - הרצאה'!I131</f>
        <v>13000</v>
      </c>
    </row>
    <row r="32" spans="1:5" x14ac:dyDescent="0.2">
      <c r="A32" s="1" t="s">
        <v>1603</v>
      </c>
      <c r="D32" s="44">
        <f>'2 - הרצאה'!I132</f>
        <v>23000</v>
      </c>
    </row>
    <row r="33" spans="1:4" x14ac:dyDescent="0.2">
      <c r="A33" s="1" t="s">
        <v>281</v>
      </c>
      <c r="D33" s="55">
        <f>SUM(D29:D32)</f>
        <v>61000</v>
      </c>
    </row>
    <row r="35" spans="1:4" x14ac:dyDescent="0.2">
      <c r="A35" s="2" t="s">
        <v>1210</v>
      </c>
    </row>
    <row r="36" spans="1:4" x14ac:dyDescent="0.2">
      <c r="A36" s="1" t="s">
        <v>1604</v>
      </c>
    </row>
    <row r="38" spans="1:4" x14ac:dyDescent="0.2">
      <c r="A38" s="1" t="s">
        <v>1473</v>
      </c>
      <c r="D38" s="44">
        <v>12000</v>
      </c>
    </row>
    <row r="39" spans="1:4" x14ac:dyDescent="0.2">
      <c r="A39" s="1" t="s">
        <v>1474</v>
      </c>
      <c r="D39" s="44">
        <v>3000</v>
      </c>
    </row>
    <row r="40" spans="1:4" x14ac:dyDescent="0.2">
      <c r="A40" s="1" t="s">
        <v>269</v>
      </c>
      <c r="D40" s="44">
        <v>34000</v>
      </c>
    </row>
    <row r="41" spans="1:4" x14ac:dyDescent="0.2">
      <c r="A41" s="1" t="s">
        <v>1475</v>
      </c>
      <c r="D41" s="44">
        <v>28000</v>
      </c>
    </row>
    <row r="42" spans="1:4" x14ac:dyDescent="0.2">
      <c r="A42" s="1" t="s">
        <v>1261</v>
      </c>
      <c r="D42" s="44">
        <v>10000</v>
      </c>
    </row>
    <row r="43" spans="1:4" x14ac:dyDescent="0.2">
      <c r="A43" s="1" t="s">
        <v>1556</v>
      </c>
      <c r="D43" s="44">
        <v>52000</v>
      </c>
    </row>
    <row r="44" spans="1:4" x14ac:dyDescent="0.2">
      <c r="A44" s="1" t="s">
        <v>281</v>
      </c>
      <c r="D44" s="55">
        <f>SUM(D38:D43)</f>
        <v>139000</v>
      </c>
    </row>
    <row r="46" spans="1:4" x14ac:dyDescent="0.2">
      <c r="A46" s="2" t="s">
        <v>1461</v>
      </c>
    </row>
    <row r="47" spans="1:4" x14ac:dyDescent="0.2">
      <c r="A47" s="1" t="s">
        <v>1605</v>
      </c>
    </row>
    <row r="48" spans="1:4" x14ac:dyDescent="0.2">
      <c r="A48" s="1" t="s">
        <v>1606</v>
      </c>
    </row>
    <row r="49" spans="1:10" x14ac:dyDescent="0.2">
      <c r="A49" s="1" t="s">
        <v>1607</v>
      </c>
    </row>
    <row r="50" spans="1:10" x14ac:dyDescent="0.2">
      <c r="A50" s="1" t="s">
        <v>1608</v>
      </c>
    </row>
    <row r="52" spans="1:10" x14ac:dyDescent="0.2">
      <c r="A52" s="130" t="s">
        <v>1246</v>
      </c>
      <c r="B52" s="130"/>
      <c r="C52" s="130"/>
      <c r="D52" s="254">
        <v>14000</v>
      </c>
    </row>
    <row r="54" spans="1:10" x14ac:dyDescent="0.2">
      <c r="A54" s="2" t="s">
        <v>2356</v>
      </c>
    </row>
    <row r="55" spans="1:10" x14ac:dyDescent="0.2">
      <c r="A55" s="1" t="s">
        <v>2351</v>
      </c>
    </row>
    <row r="56" spans="1:10" x14ac:dyDescent="0.2">
      <c r="A56" s="2" t="s">
        <v>2353</v>
      </c>
      <c r="B56" s="2"/>
      <c r="C56" s="2"/>
      <c r="D56" s="2"/>
      <c r="E56" s="2"/>
      <c r="F56" s="2"/>
      <c r="G56" s="2"/>
      <c r="H56" s="2"/>
    </row>
    <row r="57" spans="1:10" x14ac:dyDescent="0.2">
      <c r="A57" s="2" t="s">
        <v>2352</v>
      </c>
      <c r="B57" s="2"/>
      <c r="C57" s="2"/>
      <c r="D57" s="2"/>
      <c r="E57" s="2"/>
      <c r="F57" s="2"/>
      <c r="G57" s="2"/>
      <c r="H57" s="2"/>
    </row>
    <row r="58" spans="1:10" x14ac:dyDescent="0.2">
      <c r="A58" s="1" t="s">
        <v>2354</v>
      </c>
      <c r="B58" s="2"/>
      <c r="C58" s="2"/>
      <c r="D58" s="2"/>
      <c r="E58" s="2"/>
      <c r="F58" s="2"/>
      <c r="G58" s="2"/>
      <c r="H58" s="2"/>
    </row>
    <row r="60" spans="1:10" x14ac:dyDescent="0.2">
      <c r="A60" s="1" t="s">
        <v>267</v>
      </c>
      <c r="D60" s="23">
        <v>11000</v>
      </c>
    </row>
    <row r="61" spans="1:10" x14ac:dyDescent="0.2">
      <c r="A61" s="1" t="s">
        <v>1477</v>
      </c>
      <c r="D61" s="23">
        <v>1000</v>
      </c>
    </row>
    <row r="62" spans="1:10" x14ac:dyDescent="0.2">
      <c r="D62" s="253">
        <f>SUM(D60:D61)</f>
        <v>12000</v>
      </c>
    </row>
    <row r="64" spans="1:10" ht="17" thickBot="1" x14ac:dyDescent="0.25">
      <c r="A64" s="2" t="s">
        <v>1609</v>
      </c>
      <c r="J64" s="1" t="s">
        <v>2361</v>
      </c>
    </row>
    <row r="65" spans="1:12" x14ac:dyDescent="0.2">
      <c r="A65" s="1" t="s">
        <v>2357</v>
      </c>
      <c r="J65" s="400"/>
      <c r="K65" s="404" t="s">
        <v>2363</v>
      </c>
      <c r="L65" s="404" t="s">
        <v>2364</v>
      </c>
    </row>
    <row r="66" spans="1:12" ht="17" thickBot="1" x14ac:dyDescent="0.25">
      <c r="A66" s="1" t="s">
        <v>2358</v>
      </c>
      <c r="J66" s="400"/>
      <c r="K66" s="407" t="s">
        <v>2362</v>
      </c>
      <c r="L66" s="408" t="s">
        <v>2365</v>
      </c>
    </row>
    <row r="67" spans="1:12" x14ac:dyDescent="0.2">
      <c r="A67" s="1" t="s">
        <v>2359</v>
      </c>
      <c r="J67" s="563" t="s">
        <v>2372</v>
      </c>
      <c r="K67" s="404" t="s">
        <v>2366</v>
      </c>
      <c r="L67" s="401" t="s">
        <v>2366</v>
      </c>
    </row>
    <row r="68" spans="1:12" x14ac:dyDescent="0.2">
      <c r="A68" s="1" t="s">
        <v>2360</v>
      </c>
      <c r="J68" s="564"/>
      <c r="K68" s="405" t="s">
        <v>2367</v>
      </c>
      <c r="L68" s="402" t="s">
        <v>2369</v>
      </c>
    </row>
    <row r="69" spans="1:12" ht="17" thickBot="1" x14ac:dyDescent="0.25">
      <c r="J69" s="565"/>
      <c r="K69" s="406" t="s">
        <v>2368</v>
      </c>
      <c r="L69" s="403" t="s">
        <v>2370</v>
      </c>
    </row>
    <row r="70" spans="1:12" x14ac:dyDescent="0.2">
      <c r="A70" s="1" t="s">
        <v>1274</v>
      </c>
      <c r="D70" s="253">
        <v>22000</v>
      </c>
      <c r="J70" s="566" t="s">
        <v>2373</v>
      </c>
      <c r="K70" s="404" t="s">
        <v>10</v>
      </c>
      <c r="L70" s="404" t="s">
        <v>9</v>
      </c>
    </row>
    <row r="71" spans="1:12" ht="17" thickBot="1" x14ac:dyDescent="0.25">
      <c r="J71" s="567"/>
      <c r="K71" s="406" t="s">
        <v>2371</v>
      </c>
      <c r="L71" s="406" t="s">
        <v>2371</v>
      </c>
    </row>
    <row r="73" spans="1:12" x14ac:dyDescent="0.2">
      <c r="A73" s="2" t="s">
        <v>2388</v>
      </c>
    </row>
    <row r="74" spans="1:12" x14ac:dyDescent="0.2">
      <c r="A74" s="1" t="s">
        <v>2374</v>
      </c>
    </row>
    <row r="75" spans="1:12" x14ac:dyDescent="0.2">
      <c r="A75" s="1" t="s">
        <v>2375</v>
      </c>
    </row>
    <row r="76" spans="1:12" x14ac:dyDescent="0.2">
      <c r="A76" s="1" t="s">
        <v>2376</v>
      </c>
    </row>
    <row r="78" spans="1:12" x14ac:dyDescent="0.2">
      <c r="B78" s="1" t="s">
        <v>2377</v>
      </c>
      <c r="E78" s="6" t="s">
        <v>76</v>
      </c>
    </row>
    <row r="79" spans="1:12" x14ac:dyDescent="0.2">
      <c r="B79" s="1" t="s">
        <v>2378</v>
      </c>
      <c r="E79" s="6" t="s">
        <v>76</v>
      </c>
    </row>
    <row r="80" spans="1:12" x14ac:dyDescent="0.2">
      <c r="B80" s="1" t="s">
        <v>2380</v>
      </c>
      <c r="D80" s="6"/>
      <c r="E80" s="6" t="s">
        <v>77</v>
      </c>
    </row>
    <row r="81" spans="1:6" x14ac:dyDescent="0.2">
      <c r="B81" s="1" t="s">
        <v>2381</v>
      </c>
      <c r="D81" s="6"/>
      <c r="E81" s="6" t="s">
        <v>79</v>
      </c>
      <c r="F81" s="1" t="s">
        <v>2382</v>
      </c>
    </row>
    <row r="82" spans="1:6" x14ac:dyDescent="0.2">
      <c r="D82" s="6"/>
    </row>
    <row r="83" spans="1:6" x14ac:dyDescent="0.2">
      <c r="A83" s="1" t="s">
        <v>2379</v>
      </c>
      <c r="D83" s="6"/>
    </row>
    <row r="84" spans="1:6" x14ac:dyDescent="0.2">
      <c r="D84" s="6"/>
    </row>
    <row r="85" spans="1:6" x14ac:dyDescent="0.2">
      <c r="A85" s="1" t="s">
        <v>2383</v>
      </c>
      <c r="D85" s="6"/>
    </row>
    <row r="86" spans="1:6" x14ac:dyDescent="0.2">
      <c r="A86" s="1" t="s">
        <v>2386</v>
      </c>
      <c r="D86" s="6"/>
    </row>
    <row r="87" spans="1:6" x14ac:dyDescent="0.2">
      <c r="A87" s="1" t="s">
        <v>2387</v>
      </c>
      <c r="D87" s="6"/>
    </row>
    <row r="88" spans="1:6" x14ac:dyDescent="0.2">
      <c r="A88" s="1" t="s">
        <v>2384</v>
      </c>
      <c r="D88" s="6"/>
    </row>
    <row r="89" spans="1:6" x14ac:dyDescent="0.2">
      <c r="D89" s="6"/>
    </row>
    <row r="90" spans="1:6" x14ac:dyDescent="0.2">
      <c r="A90" s="1" t="s">
        <v>2385</v>
      </c>
      <c r="D90" s="6"/>
    </row>
    <row r="91" spans="1:6" x14ac:dyDescent="0.2">
      <c r="D91" s="6"/>
    </row>
    <row r="92" spans="1:6" x14ac:dyDescent="0.2">
      <c r="B92" s="1" t="s">
        <v>2377</v>
      </c>
      <c r="E92" s="150">
        <v>100</v>
      </c>
    </row>
    <row r="93" spans="1:6" x14ac:dyDescent="0.2">
      <c r="B93" s="1" t="s">
        <v>2378</v>
      </c>
      <c r="E93" s="6">
        <v>0</v>
      </c>
    </row>
    <row r="94" spans="1:6" x14ac:dyDescent="0.2">
      <c r="B94" s="1" t="s">
        <v>2380</v>
      </c>
      <c r="D94" s="6"/>
      <c r="E94" s="134">
        <v>-5</v>
      </c>
    </row>
    <row r="95" spans="1:6" x14ac:dyDescent="0.2">
      <c r="B95" s="1" t="s">
        <v>2381</v>
      </c>
      <c r="D95" s="6"/>
      <c r="E95" s="157">
        <f>E92+E93+E94</f>
        <v>95</v>
      </c>
      <c r="F95" s="1" t="s">
        <v>2382</v>
      </c>
    </row>
    <row r="96" spans="1:6" x14ac:dyDescent="0.2">
      <c r="D96" s="6"/>
    </row>
    <row r="97" spans="1:4" x14ac:dyDescent="0.2">
      <c r="D97" s="6"/>
    </row>
    <row r="98" spans="1:4" x14ac:dyDescent="0.2">
      <c r="A98" s="2" t="s">
        <v>58</v>
      </c>
    </row>
    <row r="99" spans="1:4" x14ac:dyDescent="0.2">
      <c r="A99" s="1" t="s">
        <v>1614</v>
      </c>
    </row>
    <row r="100" spans="1:4" x14ac:dyDescent="0.2">
      <c r="A100" s="1" t="s">
        <v>1615</v>
      </c>
    </row>
    <row r="101" spans="1:4" x14ac:dyDescent="0.2">
      <c r="A101" s="1" t="s">
        <v>1616</v>
      </c>
    </row>
    <row r="103" spans="1:4" x14ac:dyDescent="0.2">
      <c r="A103" s="1" t="s">
        <v>254</v>
      </c>
      <c r="D103" s="23">
        <v>100000</v>
      </c>
    </row>
    <row r="104" spans="1:4" x14ac:dyDescent="0.2">
      <c r="A104" s="1" t="s">
        <v>1557</v>
      </c>
      <c r="D104" s="23">
        <v>1400000</v>
      </c>
    </row>
    <row r="105" spans="1:4" x14ac:dyDescent="0.2">
      <c r="A105" s="1" t="s">
        <v>1558</v>
      </c>
      <c r="D105" s="23">
        <v>150000</v>
      </c>
    </row>
    <row r="106" spans="1:4" x14ac:dyDescent="0.2">
      <c r="D106" s="253">
        <f>SUM(D103:D105)</f>
        <v>1650000</v>
      </c>
    </row>
    <row r="108" spans="1:4" x14ac:dyDescent="0.2">
      <c r="A108" s="1" t="s">
        <v>2389</v>
      </c>
    </row>
    <row r="109" spans="1:4" x14ac:dyDescent="0.2">
      <c r="A109" s="1" t="s">
        <v>2390</v>
      </c>
    </row>
    <row r="111" spans="1:4" x14ac:dyDescent="0.2">
      <c r="A111" s="1" t="s">
        <v>2391</v>
      </c>
    </row>
    <row r="112" spans="1:4" x14ac:dyDescent="0.2">
      <c r="A112" s="1" t="s">
        <v>2392</v>
      </c>
      <c r="C112" s="24">
        <v>10000</v>
      </c>
    </row>
    <row r="113" spans="1:6" x14ac:dyDescent="0.2">
      <c r="A113" s="1" t="s">
        <v>2393</v>
      </c>
      <c r="C113" s="24">
        <v>20000</v>
      </c>
    </row>
    <row r="114" spans="1:6" x14ac:dyDescent="0.2">
      <c r="C114" s="24"/>
      <c r="E114" s="6" t="s">
        <v>2397</v>
      </c>
    </row>
    <row r="115" spans="1:6" ht="17" thickBot="1" x14ac:dyDescent="0.25">
      <c r="D115" s="158" t="s">
        <v>695</v>
      </c>
      <c r="E115" s="158" t="s">
        <v>667</v>
      </c>
      <c r="F115" s="158" t="s">
        <v>2395</v>
      </c>
    </row>
    <row r="116" spans="1:6" x14ac:dyDescent="0.2">
      <c r="A116" s="1" t="s">
        <v>254</v>
      </c>
      <c r="D116" s="44">
        <f>D103</f>
        <v>100000</v>
      </c>
      <c r="E116" s="44">
        <f>-C112</f>
        <v>-10000</v>
      </c>
      <c r="F116" s="44">
        <f>D116+E116</f>
        <v>90000</v>
      </c>
    </row>
    <row r="117" spans="1:6" x14ac:dyDescent="0.2">
      <c r="A117" s="1" t="s">
        <v>1557</v>
      </c>
      <c r="D117" s="44">
        <f t="shared" ref="D117:D118" si="0">D104</f>
        <v>1400000</v>
      </c>
      <c r="E117" s="44">
        <v>0</v>
      </c>
      <c r="F117" s="44">
        <f>D117+E117</f>
        <v>1400000</v>
      </c>
    </row>
    <row r="118" spans="1:6" ht="17" thickBot="1" x14ac:dyDescent="0.25">
      <c r="A118" s="1" t="s">
        <v>2394</v>
      </c>
      <c r="D118" s="409">
        <f t="shared" si="0"/>
        <v>150000</v>
      </c>
      <c r="E118" s="409">
        <f>-C113</f>
        <v>-20000</v>
      </c>
      <c r="F118" s="409">
        <f>D118+E118</f>
        <v>130000</v>
      </c>
    </row>
    <row r="119" spans="1:6" x14ac:dyDescent="0.2">
      <c r="A119" s="1" t="s">
        <v>281</v>
      </c>
      <c r="D119" s="44">
        <f>SUM(D116:D118)</f>
        <v>1650000</v>
      </c>
      <c r="E119" s="44">
        <f>SUM(E116:E118)</f>
        <v>-30000</v>
      </c>
      <c r="F119" s="410">
        <f>SUM(F116:F118)</f>
        <v>1620000</v>
      </c>
    </row>
    <row r="120" spans="1:6" x14ac:dyDescent="0.2">
      <c r="D120" s="44"/>
      <c r="E120" s="44"/>
      <c r="F120" s="410" t="s">
        <v>2396</v>
      </c>
    </row>
    <row r="121" spans="1:6" x14ac:dyDescent="0.2">
      <c r="D121" s="6"/>
      <c r="E121" s="6"/>
      <c r="F121" s="157" t="s">
        <v>2382</v>
      </c>
    </row>
    <row r="123" spans="1:6" x14ac:dyDescent="0.2">
      <c r="A123" s="1" t="s">
        <v>2398</v>
      </c>
    </row>
    <row r="124" spans="1:6" x14ac:dyDescent="0.2">
      <c r="A124" s="1" t="s">
        <v>2399</v>
      </c>
    </row>
    <row r="126" spans="1:6" x14ac:dyDescent="0.2">
      <c r="A126" s="2" t="s">
        <v>1179</v>
      </c>
    </row>
    <row r="127" spans="1:6" x14ac:dyDescent="0.2">
      <c r="A127" s="1" t="s">
        <v>1617</v>
      </c>
    </row>
    <row r="128" spans="1:6" x14ac:dyDescent="0.2">
      <c r="A128" s="1" t="s">
        <v>1618</v>
      </c>
    </row>
    <row r="130" spans="1:4" x14ac:dyDescent="0.2">
      <c r="A130" s="1" t="s">
        <v>24</v>
      </c>
      <c r="D130" s="23">
        <f>90000</f>
        <v>90000</v>
      </c>
    </row>
    <row r="132" spans="1:4" x14ac:dyDescent="0.2">
      <c r="A132" s="2" t="s">
        <v>1619</v>
      </c>
    </row>
    <row r="133" spans="1:4" x14ac:dyDescent="0.2">
      <c r="A133" s="1" t="s">
        <v>1620</v>
      </c>
    </row>
    <row r="134" spans="1:4" x14ac:dyDescent="0.2">
      <c r="A134" s="1" t="s">
        <v>1621</v>
      </c>
    </row>
    <row r="136" spans="1:4" x14ac:dyDescent="0.2">
      <c r="A136" s="1" t="s">
        <v>27</v>
      </c>
      <c r="D136" s="23">
        <v>88000</v>
      </c>
    </row>
    <row r="137" spans="1:4" x14ac:dyDescent="0.2">
      <c r="A137" s="1" t="s">
        <v>1560</v>
      </c>
      <c r="D137" s="23">
        <v>30000</v>
      </c>
    </row>
    <row r="138" spans="1:4" x14ac:dyDescent="0.2">
      <c r="D138" s="253">
        <f>SUM(D135:D137)</f>
        <v>118000</v>
      </c>
    </row>
  </sheetData>
  <mergeCells count="2">
    <mergeCell ref="J67:J69"/>
    <mergeCell ref="J70:J71"/>
  </mergeCell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F90839-C11B-0044-B773-C7E5715DEDF1}">
  <dimension ref="A2:H47"/>
  <sheetViews>
    <sheetView rightToLeft="1" zoomScale="285" zoomScaleNormal="240" workbookViewId="0">
      <selection activeCell="C18" sqref="C18"/>
    </sheetView>
  </sheetViews>
  <sheetFormatPr baseColWidth="10" defaultRowHeight="16" x14ac:dyDescent="0.2"/>
  <cols>
    <col min="1" max="16384" width="10.83203125" style="1"/>
  </cols>
  <sheetData>
    <row r="2" spans="1:8" x14ac:dyDescent="0.2">
      <c r="A2" s="1" t="s">
        <v>1628</v>
      </c>
    </row>
    <row r="4" spans="1:8" x14ac:dyDescent="0.2">
      <c r="A4" s="7" t="s">
        <v>1629</v>
      </c>
      <c r="B4" s="3"/>
      <c r="C4" s="3"/>
      <c r="D4" s="3"/>
      <c r="E4" s="3"/>
      <c r="F4" s="3"/>
      <c r="G4" s="3"/>
      <c r="H4" s="3"/>
    </row>
    <row r="5" spans="1:8" x14ac:dyDescent="0.2">
      <c r="A5" s="1" t="s">
        <v>1630</v>
      </c>
    </row>
    <row r="6" spans="1:8" x14ac:dyDescent="0.2">
      <c r="A6" s="1" t="s">
        <v>1631</v>
      </c>
    </row>
    <row r="7" spans="1:8" x14ac:dyDescent="0.2">
      <c r="A7" s="1" t="s">
        <v>1632</v>
      </c>
    </row>
    <row r="9" spans="1:8" x14ac:dyDescent="0.2">
      <c r="A9" s="1" t="s">
        <v>1633</v>
      </c>
    </row>
    <row r="11" spans="1:8" x14ac:dyDescent="0.2">
      <c r="A11" s="1" t="s">
        <v>1634</v>
      </c>
    </row>
    <row r="12" spans="1:8" x14ac:dyDescent="0.2">
      <c r="A12" s="1" t="s">
        <v>1635</v>
      </c>
    </row>
    <row r="14" spans="1:8" x14ac:dyDescent="0.2">
      <c r="A14" s="1" t="s">
        <v>1636</v>
      </c>
    </row>
    <row r="16" spans="1:8" x14ac:dyDescent="0.2">
      <c r="A16" s="2" t="s">
        <v>1637</v>
      </c>
    </row>
    <row r="17" spans="1:8" x14ac:dyDescent="0.2">
      <c r="B17" s="1" t="s">
        <v>1639</v>
      </c>
      <c r="C17" s="1" t="s">
        <v>11</v>
      </c>
      <c r="D17" s="1" t="s">
        <v>12</v>
      </c>
      <c r="E17" s="1" t="s">
        <v>1640</v>
      </c>
      <c r="F17" s="1" t="s">
        <v>9</v>
      </c>
      <c r="G17" s="1" t="s">
        <v>10</v>
      </c>
    </row>
    <row r="18" spans="1:8" x14ac:dyDescent="0.2">
      <c r="A18" s="1" t="s">
        <v>1638</v>
      </c>
      <c r="B18" s="24">
        <v>50000</v>
      </c>
      <c r="C18" s="24">
        <f>B18</f>
        <v>50000</v>
      </c>
    </row>
    <row r="19" spans="1:8" x14ac:dyDescent="0.2">
      <c r="A19" s="1" t="s">
        <v>667</v>
      </c>
      <c r="B19" s="24">
        <v>20000</v>
      </c>
      <c r="C19" s="23">
        <f>-B19</f>
        <v>-20000</v>
      </c>
    </row>
    <row r="21" spans="1:8" x14ac:dyDescent="0.2">
      <c r="A21" s="2" t="s">
        <v>1641</v>
      </c>
    </row>
    <row r="23" spans="1:8" x14ac:dyDescent="0.2">
      <c r="B23" s="1" t="s">
        <v>22</v>
      </c>
      <c r="C23" s="24">
        <f>C18+C19</f>
        <v>30000</v>
      </c>
      <c r="E23" s="1" t="s">
        <v>1642</v>
      </c>
    </row>
    <row r="25" spans="1:8" x14ac:dyDescent="0.2">
      <c r="A25" s="7" t="s">
        <v>1643</v>
      </c>
      <c r="B25" s="3"/>
      <c r="C25" s="3"/>
      <c r="D25" s="3"/>
      <c r="E25" s="3"/>
      <c r="F25" s="3"/>
      <c r="G25" s="3"/>
      <c r="H25" s="3"/>
    </row>
    <row r="26" spans="1:8" x14ac:dyDescent="0.2">
      <c r="A26" s="1" t="s">
        <v>1644</v>
      </c>
    </row>
    <row r="27" spans="1:8" x14ac:dyDescent="0.2">
      <c r="A27" s="1" t="s">
        <v>1645</v>
      </c>
    </row>
    <row r="29" spans="1:8" x14ac:dyDescent="0.2">
      <c r="A29" s="6" t="s">
        <v>76</v>
      </c>
      <c r="B29" s="1" t="s">
        <v>1646</v>
      </c>
      <c r="E29" s="24">
        <v>20000</v>
      </c>
      <c r="F29" s="1" t="s">
        <v>1649</v>
      </c>
    </row>
    <row r="30" spans="1:8" x14ac:dyDescent="0.2">
      <c r="A30" s="6" t="s">
        <v>76</v>
      </c>
      <c r="B30" s="1" t="s">
        <v>268</v>
      </c>
      <c r="E30" s="24">
        <v>220000</v>
      </c>
      <c r="F30" s="1" t="s">
        <v>1649</v>
      </c>
    </row>
    <row r="31" spans="1:8" x14ac:dyDescent="0.2">
      <c r="A31" s="6" t="s">
        <v>76</v>
      </c>
      <c r="B31" s="1" t="s">
        <v>106</v>
      </c>
      <c r="E31" s="1">
        <v>0</v>
      </c>
      <c r="F31" s="1" t="s">
        <v>1648</v>
      </c>
    </row>
    <row r="32" spans="1:8" x14ac:dyDescent="0.2">
      <c r="A32" s="6" t="s">
        <v>77</v>
      </c>
      <c r="B32" s="1" t="s">
        <v>107</v>
      </c>
      <c r="E32" s="1">
        <v>0</v>
      </c>
      <c r="F32" s="1" t="s">
        <v>1648</v>
      </c>
    </row>
    <row r="33" spans="1:8" x14ac:dyDescent="0.2">
      <c r="A33" s="6" t="s">
        <v>77</v>
      </c>
      <c r="B33" s="1" t="s">
        <v>1650</v>
      </c>
      <c r="E33" s="23">
        <v>-12000</v>
      </c>
      <c r="F33" s="1" t="s">
        <v>1649</v>
      </c>
    </row>
    <row r="34" spans="1:8" x14ac:dyDescent="0.2">
      <c r="A34" s="6" t="s">
        <v>77</v>
      </c>
      <c r="B34" s="1" t="s">
        <v>1647</v>
      </c>
      <c r="E34" s="23">
        <v>-30000</v>
      </c>
      <c r="F34" s="1" t="s">
        <v>1651</v>
      </c>
    </row>
    <row r="35" spans="1:8" x14ac:dyDescent="0.2">
      <c r="E35" s="89">
        <f>SUM(E29:E34)</f>
        <v>198000</v>
      </c>
    </row>
    <row r="37" spans="1:8" x14ac:dyDescent="0.2">
      <c r="A37" s="7" t="s">
        <v>712</v>
      </c>
      <c r="B37" s="3"/>
      <c r="C37" s="3"/>
      <c r="D37" s="3"/>
      <c r="E37" s="3"/>
      <c r="F37" s="3"/>
      <c r="G37" s="3"/>
      <c r="H37" s="3"/>
    </row>
    <row r="38" spans="1:8" x14ac:dyDescent="0.2">
      <c r="A38" s="1" t="s">
        <v>1652</v>
      </c>
    </row>
    <row r="39" spans="1:8" x14ac:dyDescent="0.2">
      <c r="A39" s="1" t="s">
        <v>1653</v>
      </c>
    </row>
    <row r="41" spans="1:8" x14ac:dyDescent="0.2">
      <c r="A41" s="7" t="s">
        <v>1654</v>
      </c>
      <c r="B41" s="7"/>
      <c r="C41" s="7"/>
      <c r="D41" s="7"/>
      <c r="E41" s="7"/>
      <c r="F41" s="7"/>
      <c r="G41" s="7"/>
      <c r="H41" s="7"/>
    </row>
    <row r="44" spans="1:8" x14ac:dyDescent="0.2">
      <c r="B44" s="1" t="s">
        <v>1655</v>
      </c>
      <c r="E44" s="1" t="s">
        <v>1659</v>
      </c>
    </row>
    <row r="45" spans="1:8" x14ac:dyDescent="0.2">
      <c r="B45" s="1" t="s">
        <v>1658</v>
      </c>
      <c r="E45" s="1" t="s">
        <v>1213</v>
      </c>
    </row>
    <row r="46" spans="1:8" x14ac:dyDescent="0.2">
      <c r="B46" s="1" t="s">
        <v>1656</v>
      </c>
      <c r="E46" s="1" t="s">
        <v>1660</v>
      </c>
    </row>
    <row r="47" spans="1:8" x14ac:dyDescent="0.2">
      <c r="B47" s="1" t="s">
        <v>1657</v>
      </c>
      <c r="E47" s="1" t="s">
        <v>1212</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464A349-51FD-B348-838A-FEF8228C1855}">
  <dimension ref="A1:H106"/>
  <sheetViews>
    <sheetView rightToLeft="1" topLeftCell="A30" zoomScale="220" workbookViewId="0">
      <selection activeCell="C29" sqref="C29"/>
    </sheetView>
  </sheetViews>
  <sheetFormatPr baseColWidth="10" defaultRowHeight="16" x14ac:dyDescent="0.2"/>
  <cols>
    <col min="1" max="1" width="32.83203125" customWidth="1"/>
  </cols>
  <sheetData>
    <row r="1" spans="1:7" x14ac:dyDescent="0.2">
      <c r="A1" s="1" t="s">
        <v>1662</v>
      </c>
    </row>
    <row r="4" spans="1:7" s="1" customFormat="1" x14ac:dyDescent="0.2">
      <c r="A4" s="1" t="s">
        <v>1685</v>
      </c>
    </row>
    <row r="5" spans="1:7" s="1" customFormat="1" x14ac:dyDescent="0.2">
      <c r="A5" s="1" t="s">
        <v>1686</v>
      </c>
    </row>
    <row r="6" spans="1:7" s="1" customFormat="1" x14ac:dyDescent="0.2"/>
    <row r="7" spans="1:7" s="1" customFormat="1" x14ac:dyDescent="0.2">
      <c r="A7" s="1" t="s">
        <v>1516</v>
      </c>
    </row>
    <row r="8" spans="1:7" s="1" customFormat="1" x14ac:dyDescent="0.2">
      <c r="A8" s="1" t="s">
        <v>1517</v>
      </c>
    </row>
    <row r="9" spans="1:7" s="1" customFormat="1" x14ac:dyDescent="0.2"/>
    <row r="10" spans="1:7" s="1" customFormat="1" ht="34" x14ac:dyDescent="0.2">
      <c r="A10" s="1" t="s">
        <v>14</v>
      </c>
      <c r="B10" s="30" t="s">
        <v>1497</v>
      </c>
      <c r="C10" s="1" t="s">
        <v>11</v>
      </c>
      <c r="D10" s="1" t="s">
        <v>12</v>
      </c>
      <c r="E10" s="1" t="s">
        <v>131</v>
      </c>
      <c r="F10" s="1" t="s">
        <v>9</v>
      </c>
      <c r="G10" s="1" t="s">
        <v>10</v>
      </c>
    </row>
    <row r="11" spans="1:7" s="1" customFormat="1" x14ac:dyDescent="0.2">
      <c r="A11" s="1" t="s">
        <v>1498</v>
      </c>
      <c r="B11" s="23">
        <v>406971</v>
      </c>
    </row>
    <row r="12" spans="1:7" s="1" customFormat="1" x14ac:dyDescent="0.2">
      <c r="A12" s="1" t="s">
        <v>17</v>
      </c>
      <c r="B12" s="23">
        <v>107865</v>
      </c>
    </row>
    <row r="13" spans="1:7" s="1" customFormat="1" x14ac:dyDescent="0.2">
      <c r="A13" s="1" t="s">
        <v>1665</v>
      </c>
      <c r="B13" s="23">
        <v>17000</v>
      </c>
    </row>
    <row r="14" spans="1:7" s="1" customFormat="1" x14ac:dyDescent="0.2">
      <c r="A14" s="1" t="s">
        <v>1499</v>
      </c>
      <c r="B14" s="23">
        <v>206764</v>
      </c>
    </row>
    <row r="15" spans="1:7" s="1" customFormat="1" x14ac:dyDescent="0.2">
      <c r="A15" s="1" t="s">
        <v>1500</v>
      </c>
      <c r="B15" s="23">
        <v>68294</v>
      </c>
    </row>
    <row r="16" spans="1:7" s="1" customFormat="1" x14ac:dyDescent="0.2">
      <c r="A16" s="1" t="s">
        <v>21</v>
      </c>
      <c r="B16" s="23">
        <v>60701</v>
      </c>
    </row>
    <row r="17" spans="1:2" s="1" customFormat="1" x14ac:dyDescent="0.2">
      <c r="A17" s="1" t="s">
        <v>1663</v>
      </c>
      <c r="B17" s="23">
        <v>12000</v>
      </c>
    </row>
    <row r="18" spans="1:2" s="1" customFormat="1" x14ac:dyDescent="0.2">
      <c r="A18" s="1" t="s">
        <v>1501</v>
      </c>
      <c r="B18" s="23">
        <v>5000000</v>
      </c>
    </row>
    <row r="19" spans="1:2" s="1" customFormat="1" x14ac:dyDescent="0.2">
      <c r="A19" s="1" t="s">
        <v>1502</v>
      </c>
      <c r="B19" s="23">
        <v>233207</v>
      </c>
    </row>
    <row r="20" spans="1:2" s="1" customFormat="1" x14ac:dyDescent="0.2">
      <c r="A20" s="1" t="s">
        <v>1473</v>
      </c>
      <c r="B20" s="23">
        <v>11000</v>
      </c>
    </row>
    <row r="21" spans="1:2" s="1" customFormat="1" x14ac:dyDescent="0.2">
      <c r="A21" s="1" t="s">
        <v>19</v>
      </c>
      <c r="B21" s="23">
        <v>271469</v>
      </c>
    </row>
    <row r="22" spans="1:2" s="1" customFormat="1" x14ac:dyDescent="0.2">
      <c r="A22" s="1" t="s">
        <v>1503</v>
      </c>
      <c r="B22" s="23">
        <v>14000</v>
      </c>
    </row>
    <row r="23" spans="1:2" s="1" customFormat="1" x14ac:dyDescent="0.2">
      <c r="A23" s="1" t="s">
        <v>1664</v>
      </c>
      <c r="B23" s="23">
        <v>80000</v>
      </c>
    </row>
    <row r="24" spans="1:2" s="1" customFormat="1" x14ac:dyDescent="0.2">
      <c r="A24" s="1" t="s">
        <v>29</v>
      </c>
      <c r="B24" s="23">
        <v>384935</v>
      </c>
    </row>
    <row r="25" spans="1:2" s="1" customFormat="1" x14ac:dyDescent="0.2">
      <c r="A25" s="1" t="s">
        <v>20</v>
      </c>
      <c r="B25" s="23">
        <v>177214</v>
      </c>
    </row>
    <row r="26" spans="1:2" s="1" customFormat="1" x14ac:dyDescent="0.2">
      <c r="A26" s="1" t="s">
        <v>1504</v>
      </c>
      <c r="B26" s="23">
        <v>494068</v>
      </c>
    </row>
    <row r="27" spans="1:2" s="1" customFormat="1" x14ac:dyDescent="0.2">
      <c r="A27" s="1" t="s">
        <v>1505</v>
      </c>
      <c r="B27" s="23">
        <v>96879</v>
      </c>
    </row>
    <row r="28" spans="1:2" s="1" customFormat="1" x14ac:dyDescent="0.2">
      <c r="A28" s="1" t="s">
        <v>1506</v>
      </c>
      <c r="B28" s="23">
        <v>385915</v>
      </c>
    </row>
    <row r="29" spans="1:2" s="1" customFormat="1" x14ac:dyDescent="0.2">
      <c r="A29" s="1" t="s">
        <v>1507</v>
      </c>
      <c r="B29" s="23">
        <v>356675</v>
      </c>
    </row>
    <row r="30" spans="1:2" s="1" customFormat="1" x14ac:dyDescent="0.2">
      <c r="A30" s="1" t="s">
        <v>1508</v>
      </c>
      <c r="B30" s="23">
        <v>900000</v>
      </c>
    </row>
    <row r="31" spans="1:2" s="1" customFormat="1" x14ac:dyDescent="0.2">
      <c r="A31" s="1" t="s">
        <v>1666</v>
      </c>
      <c r="B31" s="23">
        <v>26223</v>
      </c>
    </row>
    <row r="32" spans="1:2" s="1" customFormat="1" x14ac:dyDescent="0.2">
      <c r="A32" s="1" t="s">
        <v>1673</v>
      </c>
      <c r="B32" s="191" t="s">
        <v>31</v>
      </c>
    </row>
    <row r="33" spans="1:2" s="1" customFormat="1" x14ac:dyDescent="0.2">
      <c r="A33" s="1" t="s">
        <v>24</v>
      </c>
      <c r="B33" s="23">
        <v>378948</v>
      </c>
    </row>
    <row r="34" spans="1:2" s="1" customFormat="1" x14ac:dyDescent="0.2">
      <c r="A34" s="1" t="s">
        <v>1509</v>
      </c>
      <c r="B34" s="23">
        <v>385795</v>
      </c>
    </row>
    <row r="35" spans="1:2" s="1" customFormat="1" x14ac:dyDescent="0.2">
      <c r="A35" s="1" t="s">
        <v>1510</v>
      </c>
      <c r="B35" s="23">
        <v>345777</v>
      </c>
    </row>
    <row r="36" spans="1:2" s="1" customFormat="1" x14ac:dyDescent="0.2">
      <c r="A36" s="1" t="s">
        <v>1216</v>
      </c>
      <c r="B36" s="23">
        <v>21000</v>
      </c>
    </row>
    <row r="37" spans="1:2" s="1" customFormat="1" x14ac:dyDescent="0.2">
      <c r="A37" s="1" t="s">
        <v>268</v>
      </c>
      <c r="B37" s="23">
        <v>200000</v>
      </c>
    </row>
    <row r="38" spans="1:2" s="1" customFormat="1" x14ac:dyDescent="0.2">
      <c r="A38" s="1" t="s">
        <v>1475</v>
      </c>
      <c r="B38" s="23">
        <v>70000</v>
      </c>
    </row>
    <row r="39" spans="1:2" s="1" customFormat="1" x14ac:dyDescent="0.2">
      <c r="A39" s="1" t="s">
        <v>1477</v>
      </c>
      <c r="B39" s="23">
        <v>12000</v>
      </c>
    </row>
    <row r="40" spans="1:2" s="1" customFormat="1" x14ac:dyDescent="0.2">
      <c r="A40" s="1" t="s">
        <v>1512</v>
      </c>
      <c r="B40" s="23">
        <v>13000</v>
      </c>
    </row>
    <row r="41" spans="1:2" s="1" customFormat="1" x14ac:dyDescent="0.2">
      <c r="A41" s="1" t="s">
        <v>1275</v>
      </c>
      <c r="B41" s="23">
        <v>19000</v>
      </c>
    </row>
    <row r="42" spans="1:2" s="1" customFormat="1" x14ac:dyDescent="0.2">
      <c r="A42" s="1" t="s">
        <v>1657</v>
      </c>
      <c r="B42" s="23">
        <v>6000</v>
      </c>
    </row>
    <row r="43" spans="1:2" s="1" customFormat="1" x14ac:dyDescent="0.2">
      <c r="A43" s="1" t="s">
        <v>270</v>
      </c>
      <c r="B43" s="23">
        <v>4000</v>
      </c>
    </row>
    <row r="44" spans="1:2" s="1" customFormat="1" x14ac:dyDescent="0.2">
      <c r="A44" s="1" t="s">
        <v>1513</v>
      </c>
      <c r="B44" s="23">
        <v>13000</v>
      </c>
    </row>
    <row r="45" spans="1:2" s="1" customFormat="1" x14ac:dyDescent="0.2">
      <c r="A45" s="1" t="s">
        <v>1514</v>
      </c>
      <c r="B45" s="23">
        <v>800000</v>
      </c>
    </row>
    <row r="46" spans="1:2" s="1" customFormat="1" x14ac:dyDescent="0.2">
      <c r="A46" s="1" t="s">
        <v>1667</v>
      </c>
      <c r="B46" s="23">
        <v>30000</v>
      </c>
    </row>
    <row r="47" spans="1:2" s="1" customFormat="1" x14ac:dyDescent="0.2">
      <c r="A47" s="1" t="s">
        <v>1470</v>
      </c>
      <c r="B47" s="23">
        <v>20000</v>
      </c>
    </row>
    <row r="48" spans="1:2" s="1" customFormat="1" x14ac:dyDescent="0.2">
      <c r="A48" s="1" t="s">
        <v>1515</v>
      </c>
      <c r="B48" s="23">
        <v>22000</v>
      </c>
    </row>
    <row r="49" spans="1:8" s="1" customFormat="1" x14ac:dyDescent="0.2">
      <c r="A49" s="1" t="s">
        <v>1668</v>
      </c>
      <c r="B49" s="23">
        <v>20000</v>
      </c>
    </row>
    <row r="50" spans="1:8" s="1" customFormat="1" x14ac:dyDescent="0.2">
      <c r="A50" s="1" t="s">
        <v>1261</v>
      </c>
      <c r="B50" s="23">
        <v>32000</v>
      </c>
    </row>
    <row r="51" spans="1:8" s="1" customFormat="1" x14ac:dyDescent="0.2">
      <c r="A51" s="1" t="s">
        <v>1274</v>
      </c>
      <c r="B51" s="23">
        <v>11000</v>
      </c>
    </row>
    <row r="53" spans="1:8" x14ac:dyDescent="0.2">
      <c r="A53" s="1" t="s">
        <v>1669</v>
      </c>
    </row>
    <row r="54" spans="1:8" x14ac:dyDescent="0.2">
      <c r="A54" s="1" t="s">
        <v>1670</v>
      </c>
    </row>
    <row r="55" spans="1:8" x14ac:dyDescent="0.2">
      <c r="A55" s="1" t="s">
        <v>1671</v>
      </c>
    </row>
    <row r="56" spans="1:8" x14ac:dyDescent="0.2">
      <c r="A56" s="1" t="s">
        <v>1672</v>
      </c>
    </row>
    <row r="57" spans="1:8" x14ac:dyDescent="0.2">
      <c r="A57" s="1" t="s">
        <v>1683</v>
      </c>
    </row>
    <row r="58" spans="1:8" x14ac:dyDescent="0.2">
      <c r="A58" s="1" t="s">
        <v>1684</v>
      </c>
    </row>
    <row r="59" spans="1:8" x14ac:dyDescent="0.2">
      <c r="A59" s="1"/>
    </row>
    <row r="60" spans="1:8" s="1" customFormat="1" ht="34" x14ac:dyDescent="0.2">
      <c r="A60" s="1" t="s">
        <v>14</v>
      </c>
      <c r="B60" s="30" t="s">
        <v>1497</v>
      </c>
      <c r="C60" s="1" t="s">
        <v>11</v>
      </c>
      <c r="D60" s="1" t="s">
        <v>12</v>
      </c>
      <c r="E60" s="1" t="s">
        <v>131</v>
      </c>
      <c r="F60" s="1" t="s">
        <v>9</v>
      </c>
      <c r="G60" s="1" t="s">
        <v>10</v>
      </c>
    </row>
    <row r="61" spans="1:8" s="1" customFormat="1" x14ac:dyDescent="0.2">
      <c r="A61" s="1" t="s">
        <v>1498</v>
      </c>
      <c r="B61" s="23">
        <v>406971</v>
      </c>
      <c r="C61" s="23">
        <f>B61</f>
        <v>406971</v>
      </c>
    </row>
    <row r="62" spans="1:8" s="1" customFormat="1" x14ac:dyDescent="0.2">
      <c r="A62" s="1" t="s">
        <v>17</v>
      </c>
      <c r="B62" s="23">
        <v>107865</v>
      </c>
      <c r="C62" s="23">
        <f>B62</f>
        <v>107865</v>
      </c>
    </row>
    <row r="63" spans="1:8" s="1" customFormat="1" x14ac:dyDescent="0.2">
      <c r="A63" s="1" t="s">
        <v>1665</v>
      </c>
      <c r="B63" s="23">
        <v>17000</v>
      </c>
      <c r="F63" s="23"/>
      <c r="G63" s="23">
        <f>-B63</f>
        <v>-17000</v>
      </c>
      <c r="H63" s="1" t="s">
        <v>1676</v>
      </c>
    </row>
    <row r="64" spans="1:8" s="1" customFormat="1" x14ac:dyDescent="0.2">
      <c r="A64" s="1" t="s">
        <v>1499</v>
      </c>
      <c r="B64" s="23">
        <v>206764</v>
      </c>
      <c r="C64" s="23">
        <f>B64</f>
        <v>206764</v>
      </c>
    </row>
    <row r="65" spans="1:8" s="1" customFormat="1" x14ac:dyDescent="0.2">
      <c r="A65" s="1" t="s">
        <v>1500</v>
      </c>
      <c r="B65" s="23">
        <v>68294</v>
      </c>
      <c r="C65" s="23">
        <f>B65</f>
        <v>68294</v>
      </c>
    </row>
    <row r="66" spans="1:8" s="1" customFormat="1" x14ac:dyDescent="0.2">
      <c r="A66" s="1" t="s">
        <v>21</v>
      </c>
      <c r="B66" s="23">
        <v>60701</v>
      </c>
      <c r="D66" s="23">
        <f>B66</f>
        <v>60701</v>
      </c>
    </row>
    <row r="67" spans="1:8" s="1" customFormat="1" x14ac:dyDescent="0.2">
      <c r="A67" s="1" t="s">
        <v>1663</v>
      </c>
      <c r="B67" s="23">
        <v>12000</v>
      </c>
      <c r="G67" s="23">
        <f>B67</f>
        <v>12000</v>
      </c>
      <c r="H67" s="1" t="s">
        <v>1675</v>
      </c>
    </row>
    <row r="68" spans="1:8" s="1" customFormat="1" x14ac:dyDescent="0.2">
      <c r="A68" s="1" t="s">
        <v>1501</v>
      </c>
      <c r="B68" s="23">
        <v>5000000</v>
      </c>
      <c r="C68" s="23">
        <f>B68</f>
        <v>5000000</v>
      </c>
    </row>
    <row r="69" spans="1:8" s="1" customFormat="1" x14ac:dyDescent="0.2">
      <c r="A69" s="1" t="s">
        <v>1502</v>
      </c>
      <c r="B69" s="23">
        <v>233207</v>
      </c>
      <c r="D69" s="23">
        <f>B69</f>
        <v>233207</v>
      </c>
    </row>
    <row r="70" spans="1:8" s="1" customFormat="1" x14ac:dyDescent="0.2">
      <c r="A70" s="1" t="s">
        <v>1473</v>
      </c>
      <c r="B70" s="23">
        <v>11000</v>
      </c>
      <c r="G70" s="23">
        <f>B70</f>
        <v>11000</v>
      </c>
      <c r="H70" s="1" t="s">
        <v>1675</v>
      </c>
    </row>
    <row r="71" spans="1:8" s="1" customFormat="1" x14ac:dyDescent="0.2">
      <c r="A71" s="1" t="s">
        <v>19</v>
      </c>
      <c r="B71" s="23">
        <v>271469</v>
      </c>
      <c r="C71" s="23">
        <f>B71</f>
        <v>271469</v>
      </c>
    </row>
    <row r="72" spans="1:8" s="1" customFormat="1" x14ac:dyDescent="0.2">
      <c r="A72" s="1" t="s">
        <v>1503</v>
      </c>
      <c r="B72" s="23">
        <v>14000</v>
      </c>
      <c r="G72" s="23">
        <f>B72</f>
        <v>14000</v>
      </c>
      <c r="H72" s="1" t="s">
        <v>1675</v>
      </c>
    </row>
    <row r="73" spans="1:8" s="1" customFormat="1" x14ac:dyDescent="0.2">
      <c r="A73" s="1" t="s">
        <v>1658</v>
      </c>
      <c r="B73" s="23">
        <v>80000</v>
      </c>
      <c r="F73" s="23">
        <f>B73</f>
        <v>80000</v>
      </c>
      <c r="H73" s="1" t="s">
        <v>1674</v>
      </c>
    </row>
    <row r="74" spans="1:8" s="1" customFormat="1" x14ac:dyDescent="0.2">
      <c r="A74" s="1" t="s">
        <v>29</v>
      </c>
      <c r="B74" s="23">
        <v>384935</v>
      </c>
      <c r="E74" s="23">
        <f>B74</f>
        <v>384935</v>
      </c>
    </row>
    <row r="75" spans="1:8" s="1" customFormat="1" x14ac:dyDescent="0.2">
      <c r="A75" s="1" t="s">
        <v>20</v>
      </c>
      <c r="B75" s="23">
        <v>177214</v>
      </c>
      <c r="C75" s="23">
        <f>B75</f>
        <v>177214</v>
      </c>
    </row>
    <row r="76" spans="1:8" s="1" customFormat="1" x14ac:dyDescent="0.2">
      <c r="A76" s="1" t="s">
        <v>1504</v>
      </c>
      <c r="B76" s="23">
        <v>494068</v>
      </c>
      <c r="C76" s="23">
        <f>B76</f>
        <v>494068</v>
      </c>
    </row>
    <row r="77" spans="1:8" s="1" customFormat="1" x14ac:dyDescent="0.2">
      <c r="A77" s="1" t="s">
        <v>1505</v>
      </c>
      <c r="B77" s="23">
        <v>96879</v>
      </c>
      <c r="D77" s="23">
        <f>B77</f>
        <v>96879</v>
      </c>
    </row>
    <row r="78" spans="1:8" s="1" customFormat="1" x14ac:dyDescent="0.2">
      <c r="A78" s="1" t="s">
        <v>1506</v>
      </c>
      <c r="B78" s="23">
        <v>385915</v>
      </c>
      <c r="D78" s="23">
        <f>B78</f>
        <v>385915</v>
      </c>
    </row>
    <row r="79" spans="1:8" s="1" customFormat="1" x14ac:dyDescent="0.2">
      <c r="A79" s="1" t="s">
        <v>1507</v>
      </c>
      <c r="B79" s="23">
        <v>356675</v>
      </c>
      <c r="D79" s="23">
        <f>B79</f>
        <v>356675</v>
      </c>
    </row>
    <row r="80" spans="1:8" s="1" customFormat="1" x14ac:dyDescent="0.2">
      <c r="A80" s="1" t="s">
        <v>1508</v>
      </c>
      <c r="B80" s="23">
        <v>900000</v>
      </c>
      <c r="C80" s="23">
        <f>B80</f>
        <v>900000</v>
      </c>
    </row>
    <row r="81" spans="1:8" s="1" customFormat="1" x14ac:dyDescent="0.2">
      <c r="A81" s="1" t="s">
        <v>1666</v>
      </c>
      <c r="B81" s="23">
        <v>26223</v>
      </c>
      <c r="C81" s="23">
        <f>-B81</f>
        <v>-26223</v>
      </c>
      <c r="H81" s="1" t="s">
        <v>1677</v>
      </c>
    </row>
    <row r="82" spans="1:8" s="1" customFormat="1" x14ac:dyDescent="0.2">
      <c r="A82" s="1" t="s">
        <v>1673</v>
      </c>
      <c r="B82" s="191" t="s">
        <v>31</v>
      </c>
      <c r="E82" s="44" t="str">
        <f>B82</f>
        <v>?</v>
      </c>
    </row>
    <row r="83" spans="1:8" s="1" customFormat="1" x14ac:dyDescent="0.2">
      <c r="A83" s="1" t="s">
        <v>24</v>
      </c>
      <c r="B83" s="23">
        <v>378948</v>
      </c>
      <c r="C83" s="23">
        <f>B83</f>
        <v>378948</v>
      </c>
    </row>
    <row r="84" spans="1:8" s="1" customFormat="1" x14ac:dyDescent="0.2">
      <c r="A84" s="1" t="s">
        <v>1509</v>
      </c>
      <c r="B84" s="23">
        <v>385795</v>
      </c>
      <c r="C84" s="23">
        <f>B84</f>
        <v>385795</v>
      </c>
    </row>
    <row r="85" spans="1:8" s="1" customFormat="1" x14ac:dyDescent="0.2">
      <c r="A85" s="1" t="s">
        <v>1510</v>
      </c>
      <c r="B85" s="23">
        <v>345777</v>
      </c>
      <c r="C85" s="23">
        <f>B85</f>
        <v>345777</v>
      </c>
    </row>
    <row r="86" spans="1:8" s="1" customFormat="1" x14ac:dyDescent="0.2">
      <c r="A86" s="1" t="s">
        <v>1216</v>
      </c>
      <c r="B86" s="23">
        <v>21000</v>
      </c>
      <c r="F86" s="23">
        <f>-B86</f>
        <v>-21000</v>
      </c>
      <c r="H86" s="1" t="s">
        <v>1678</v>
      </c>
    </row>
    <row r="87" spans="1:8" s="1" customFormat="1" x14ac:dyDescent="0.2">
      <c r="A87" s="1" t="s">
        <v>268</v>
      </c>
      <c r="B87" s="23">
        <v>200000</v>
      </c>
      <c r="G87" s="23">
        <f t="shared" ref="G87:G94" si="0">B87</f>
        <v>200000</v>
      </c>
      <c r="H87" s="1" t="s">
        <v>1679</v>
      </c>
    </row>
    <row r="88" spans="1:8" s="1" customFormat="1" x14ac:dyDescent="0.2">
      <c r="A88" s="1" t="s">
        <v>1475</v>
      </c>
      <c r="B88" s="23">
        <v>70000</v>
      </c>
      <c r="G88" s="23">
        <f t="shared" si="0"/>
        <v>70000</v>
      </c>
      <c r="H88" s="1" t="s">
        <v>1675</v>
      </c>
    </row>
    <row r="89" spans="1:8" s="1" customFormat="1" x14ac:dyDescent="0.2">
      <c r="A89" s="1" t="s">
        <v>1477</v>
      </c>
      <c r="B89" s="23">
        <v>12000</v>
      </c>
      <c r="G89" s="23">
        <f t="shared" si="0"/>
        <v>12000</v>
      </c>
      <c r="H89" s="1" t="s">
        <v>1212</v>
      </c>
    </row>
    <row r="90" spans="1:8" s="1" customFormat="1" x14ac:dyDescent="0.2">
      <c r="A90" s="1" t="s">
        <v>1512</v>
      </c>
      <c r="B90" s="23">
        <v>13000</v>
      </c>
      <c r="G90" s="23">
        <f t="shared" si="0"/>
        <v>13000</v>
      </c>
      <c r="H90" s="1" t="s">
        <v>1675</v>
      </c>
    </row>
    <row r="91" spans="1:8" s="1" customFormat="1" x14ac:dyDescent="0.2">
      <c r="A91" s="1" t="s">
        <v>1275</v>
      </c>
      <c r="B91" s="23">
        <v>19000</v>
      </c>
      <c r="G91" s="23">
        <f t="shared" si="0"/>
        <v>19000</v>
      </c>
      <c r="H91" s="1" t="s">
        <v>1576</v>
      </c>
    </row>
    <row r="92" spans="1:8" s="1" customFormat="1" x14ac:dyDescent="0.2">
      <c r="A92" s="1" t="s">
        <v>1657</v>
      </c>
      <c r="B92" s="23">
        <v>6000</v>
      </c>
      <c r="G92" s="23">
        <f t="shared" si="0"/>
        <v>6000</v>
      </c>
      <c r="H92" s="1" t="s">
        <v>1680</v>
      </c>
    </row>
    <row r="93" spans="1:8" s="1" customFormat="1" x14ac:dyDescent="0.2">
      <c r="A93" s="1" t="s">
        <v>270</v>
      </c>
      <c r="B93" s="23">
        <v>4000</v>
      </c>
      <c r="G93" s="23">
        <f t="shared" si="0"/>
        <v>4000</v>
      </c>
      <c r="H93" s="1" t="s">
        <v>1576</v>
      </c>
    </row>
    <row r="94" spans="1:8" s="1" customFormat="1" x14ac:dyDescent="0.2">
      <c r="A94" s="1" t="s">
        <v>1513</v>
      </c>
      <c r="B94" s="23">
        <v>13000</v>
      </c>
      <c r="G94" s="23">
        <f t="shared" si="0"/>
        <v>13000</v>
      </c>
      <c r="H94" s="1" t="s">
        <v>1576</v>
      </c>
    </row>
    <row r="95" spans="1:8" s="1" customFormat="1" x14ac:dyDescent="0.2">
      <c r="A95" s="1" t="s">
        <v>1514</v>
      </c>
      <c r="B95" s="23">
        <v>800000</v>
      </c>
      <c r="F95" s="23">
        <f>B95</f>
        <v>800000</v>
      </c>
    </row>
    <row r="96" spans="1:8" s="1" customFormat="1" x14ac:dyDescent="0.2">
      <c r="A96" s="1" t="s">
        <v>1667</v>
      </c>
      <c r="B96" s="23">
        <v>30000</v>
      </c>
      <c r="G96" s="23">
        <f>B96</f>
        <v>30000</v>
      </c>
      <c r="H96" s="1" t="s">
        <v>1679</v>
      </c>
    </row>
    <row r="97" spans="1:8" s="1" customFormat="1" x14ac:dyDescent="0.2">
      <c r="A97" s="1" t="s">
        <v>1681</v>
      </c>
      <c r="B97" s="23">
        <v>20000</v>
      </c>
      <c r="F97" s="23">
        <f>B97</f>
        <v>20000</v>
      </c>
      <c r="H97" s="1" t="s">
        <v>1461</v>
      </c>
    </row>
    <row r="98" spans="1:8" s="1" customFormat="1" x14ac:dyDescent="0.2">
      <c r="A98" s="1" t="s">
        <v>1515</v>
      </c>
      <c r="B98" s="23">
        <v>22000</v>
      </c>
      <c r="G98" s="273">
        <f>B98</f>
        <v>22000</v>
      </c>
      <c r="H98" s="8" t="s">
        <v>1675</v>
      </c>
    </row>
    <row r="99" spans="1:8" s="1" customFormat="1" x14ac:dyDescent="0.2">
      <c r="A99" s="1" t="s">
        <v>1668</v>
      </c>
      <c r="B99" s="23">
        <v>20000</v>
      </c>
      <c r="C99" s="23">
        <f>B99</f>
        <v>20000</v>
      </c>
      <c r="G99" s="23">
        <f>-C99</f>
        <v>-20000</v>
      </c>
      <c r="H99" s="1" t="s">
        <v>1682</v>
      </c>
    </row>
    <row r="100" spans="1:8" s="1" customFormat="1" x14ac:dyDescent="0.2">
      <c r="A100" s="1" t="s">
        <v>1261</v>
      </c>
      <c r="B100" s="23">
        <v>32000</v>
      </c>
      <c r="G100" s="23">
        <f>B100</f>
        <v>32000</v>
      </c>
      <c r="H100" s="1" t="s">
        <v>1675</v>
      </c>
    </row>
    <row r="101" spans="1:8" s="1" customFormat="1" x14ac:dyDescent="0.2">
      <c r="A101" s="1" t="s">
        <v>1274</v>
      </c>
      <c r="B101" s="23">
        <v>11000</v>
      </c>
      <c r="F101" s="23">
        <f>B101</f>
        <v>11000</v>
      </c>
      <c r="H101" s="1" t="s">
        <v>1213</v>
      </c>
    </row>
    <row r="104" spans="1:8" x14ac:dyDescent="0.2">
      <c r="A104" s="110" t="s">
        <v>84</v>
      </c>
      <c r="B104" s="274" t="s">
        <v>1687</v>
      </c>
      <c r="C104" s="274"/>
      <c r="D104" s="274"/>
      <c r="E104" s="274"/>
    </row>
    <row r="105" spans="1:8" x14ac:dyDescent="0.2">
      <c r="A105" s="274"/>
      <c r="B105" s="274" t="s">
        <v>1688</v>
      </c>
      <c r="C105" s="274"/>
      <c r="D105" s="274"/>
      <c r="E105" s="274"/>
    </row>
    <row r="106" spans="1:8" x14ac:dyDescent="0.2">
      <c r="A106" s="274"/>
      <c r="B106" s="274" t="s">
        <v>1689</v>
      </c>
      <c r="C106" s="274"/>
      <c r="D106" s="274"/>
      <c r="E106" s="274"/>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B7C5E3-3E0E-D844-B972-09359065B735}">
  <dimension ref="A1:M228"/>
  <sheetViews>
    <sheetView rightToLeft="1" topLeftCell="A102" zoomScale="264" zoomScaleNormal="210" workbookViewId="0">
      <selection activeCell="F229" sqref="F229"/>
    </sheetView>
  </sheetViews>
  <sheetFormatPr baseColWidth="10" defaultRowHeight="16" x14ac:dyDescent="0.2"/>
  <cols>
    <col min="1" max="16384" width="10.83203125" style="1"/>
  </cols>
  <sheetData>
    <row r="1" spans="1:9" x14ac:dyDescent="0.2">
      <c r="A1" s="7" t="s">
        <v>72</v>
      </c>
      <c r="B1" s="7"/>
      <c r="C1" s="7"/>
      <c r="D1" s="7"/>
      <c r="E1" s="7"/>
      <c r="F1" s="7"/>
      <c r="G1" s="7"/>
      <c r="H1" s="7"/>
      <c r="I1" s="250">
        <v>45614</v>
      </c>
    </row>
    <row r="3" spans="1:9" x14ac:dyDescent="0.2">
      <c r="A3" s="1" t="s">
        <v>73</v>
      </c>
    </row>
    <row r="5" spans="1:9" x14ac:dyDescent="0.2">
      <c r="A5" s="85" t="s">
        <v>2986</v>
      </c>
      <c r="B5" s="16"/>
      <c r="C5" s="16"/>
      <c r="D5" s="16"/>
      <c r="E5" s="16"/>
      <c r="F5" s="16"/>
      <c r="G5" s="16"/>
      <c r="H5" s="16"/>
      <c r="I5" s="16"/>
    </row>
    <row r="7" spans="1:9" x14ac:dyDescent="0.2">
      <c r="A7" s="1" t="s">
        <v>2400</v>
      </c>
    </row>
    <row r="9" spans="1:9" x14ac:dyDescent="0.2">
      <c r="A9" s="6" t="s">
        <v>84</v>
      </c>
      <c r="B9" s="1" t="s">
        <v>2401</v>
      </c>
      <c r="F9" s="6" t="s">
        <v>76</v>
      </c>
    </row>
    <row r="10" spans="1:9" x14ac:dyDescent="0.2">
      <c r="A10" s="6" t="s">
        <v>86</v>
      </c>
      <c r="B10" s="1" t="s">
        <v>2402</v>
      </c>
      <c r="F10" s="6" t="s">
        <v>77</v>
      </c>
    </row>
    <row r="11" spans="1:9" x14ac:dyDescent="0.2">
      <c r="B11" s="2" t="s">
        <v>2403</v>
      </c>
      <c r="C11" s="2"/>
      <c r="D11" s="2"/>
      <c r="E11" s="2"/>
      <c r="F11" s="412" t="s">
        <v>2404</v>
      </c>
    </row>
    <row r="13" spans="1:9" x14ac:dyDescent="0.2">
      <c r="A13" s="1" t="s">
        <v>2405</v>
      </c>
    </row>
    <row r="14" spans="1:9" x14ac:dyDescent="0.2">
      <c r="A14" s="1" t="s">
        <v>74</v>
      </c>
    </row>
    <row r="16" spans="1:9" x14ac:dyDescent="0.2">
      <c r="A16" s="1" t="s">
        <v>80</v>
      </c>
    </row>
    <row r="17" spans="1:9" ht="17" thickBot="1" x14ac:dyDescent="0.25"/>
    <row r="18" spans="1:9" x14ac:dyDescent="0.2">
      <c r="A18" s="180" t="s">
        <v>85</v>
      </c>
      <c r="B18" s="413"/>
      <c r="C18" s="413"/>
      <c r="D18" s="414"/>
      <c r="F18" s="180" t="s">
        <v>87</v>
      </c>
      <c r="G18" s="413"/>
      <c r="H18" s="100"/>
      <c r="I18" s="19"/>
    </row>
    <row r="19" spans="1:9" x14ac:dyDescent="0.2">
      <c r="A19" s="106" t="s">
        <v>81</v>
      </c>
      <c r="D19" s="62" t="s">
        <v>76</v>
      </c>
      <c r="F19" s="106" t="s">
        <v>88</v>
      </c>
      <c r="G19" s="6" t="s">
        <v>76</v>
      </c>
      <c r="H19" s="87" t="s">
        <v>2410</v>
      </c>
      <c r="I19" s="107"/>
    </row>
    <row r="20" spans="1:9" x14ac:dyDescent="0.2">
      <c r="A20" s="106" t="s">
        <v>82</v>
      </c>
      <c r="D20" s="62" t="s">
        <v>77</v>
      </c>
      <c r="F20" s="416" t="s">
        <v>89</v>
      </c>
      <c r="G20" s="157" t="s">
        <v>76</v>
      </c>
      <c r="H20" s="87" t="s">
        <v>2411</v>
      </c>
      <c r="I20" s="107"/>
    </row>
    <row r="21" spans="1:9" x14ac:dyDescent="0.2">
      <c r="A21" s="106" t="s">
        <v>2409</v>
      </c>
      <c r="D21" s="62" t="s">
        <v>77</v>
      </c>
      <c r="F21" s="106" t="s">
        <v>90</v>
      </c>
      <c r="G21" s="6" t="s">
        <v>77</v>
      </c>
      <c r="H21" s="87" t="s">
        <v>2412</v>
      </c>
      <c r="I21" s="107"/>
    </row>
    <row r="22" spans="1:9" ht="17" thickBot="1" x14ac:dyDescent="0.25">
      <c r="A22" s="20" t="s">
        <v>83</v>
      </c>
      <c r="B22" s="103"/>
      <c r="C22" s="103"/>
      <c r="D22" s="415" t="s">
        <v>79</v>
      </c>
      <c r="F22" s="20" t="s">
        <v>91</v>
      </c>
      <c r="G22" s="158" t="s">
        <v>79</v>
      </c>
      <c r="H22" s="158"/>
      <c r="I22" s="21"/>
    </row>
    <row r="24" spans="1:9" ht="17" thickBot="1" x14ac:dyDescent="0.25">
      <c r="A24" s="1" t="s">
        <v>2406</v>
      </c>
    </row>
    <row r="25" spans="1:9" x14ac:dyDescent="0.2">
      <c r="A25" s="1" t="s">
        <v>2407</v>
      </c>
      <c r="F25" s="18" t="s">
        <v>92</v>
      </c>
      <c r="G25" s="19"/>
    </row>
    <row r="26" spans="1:9" ht="17" thickBot="1" x14ac:dyDescent="0.25">
      <c r="A26" s="1" t="s">
        <v>2408</v>
      </c>
      <c r="F26" s="20" t="s">
        <v>93</v>
      </c>
      <c r="G26" s="21"/>
    </row>
    <row r="27" spans="1:9" x14ac:dyDescent="0.2">
      <c r="I27" s="1" t="s">
        <v>2413</v>
      </c>
    </row>
    <row r="28" spans="1:9" ht="17" thickBot="1" x14ac:dyDescent="0.25">
      <c r="I28" s="1">
        <v>400</v>
      </c>
    </row>
    <row r="29" spans="1:9" x14ac:dyDescent="0.2">
      <c r="F29" s="18" t="s">
        <v>94</v>
      </c>
      <c r="G29" s="19"/>
    </row>
    <row r="30" spans="1:9" ht="17" thickBot="1" x14ac:dyDescent="0.25">
      <c r="F30" s="20" t="s">
        <v>95</v>
      </c>
      <c r="G30" s="21"/>
    </row>
    <row r="32" spans="1:9" ht="17" thickBot="1" x14ac:dyDescent="0.25"/>
    <row r="33" spans="1:9" x14ac:dyDescent="0.2">
      <c r="A33" s="1" t="s">
        <v>99</v>
      </c>
      <c r="F33" s="18" t="s">
        <v>94</v>
      </c>
      <c r="G33" s="19"/>
    </row>
    <row r="34" spans="1:9" ht="17" thickBot="1" x14ac:dyDescent="0.25">
      <c r="D34" s="1" t="s">
        <v>100</v>
      </c>
      <c r="F34" s="20" t="s">
        <v>96</v>
      </c>
      <c r="G34" s="21"/>
      <c r="I34" s="1" t="s">
        <v>2414</v>
      </c>
    </row>
    <row r="35" spans="1:9" x14ac:dyDescent="0.2">
      <c r="A35" s="1" t="s">
        <v>101</v>
      </c>
    </row>
    <row r="36" spans="1:9" ht="17" thickBot="1" x14ac:dyDescent="0.25">
      <c r="B36" s="1" t="s">
        <v>88</v>
      </c>
      <c r="C36" s="1">
        <v>100</v>
      </c>
    </row>
    <row r="37" spans="1:9" x14ac:dyDescent="0.2">
      <c r="B37" s="1" t="s">
        <v>89</v>
      </c>
      <c r="C37" s="1">
        <v>300</v>
      </c>
      <c r="F37" s="18" t="s">
        <v>97</v>
      </c>
      <c r="G37" s="19"/>
    </row>
    <row r="38" spans="1:9" ht="17" thickBot="1" x14ac:dyDescent="0.25">
      <c r="B38" s="1" t="s">
        <v>90</v>
      </c>
      <c r="C38" s="23">
        <v>-120</v>
      </c>
      <c r="F38" s="20" t="s">
        <v>98</v>
      </c>
      <c r="G38" s="21"/>
    </row>
    <row r="39" spans="1:9" ht="17" thickBot="1" x14ac:dyDescent="0.25">
      <c r="B39" s="1" t="s">
        <v>102</v>
      </c>
      <c r="C39" s="22">
        <f>SUM(C36:C38)</f>
        <v>280</v>
      </c>
    </row>
    <row r="42" spans="1:9" x14ac:dyDescent="0.2">
      <c r="A42" s="1" t="s">
        <v>103</v>
      </c>
    </row>
    <row r="43" spans="1:9" ht="17" thickBot="1" x14ac:dyDescent="0.25"/>
    <row r="44" spans="1:9" x14ac:dyDescent="0.2">
      <c r="B44" s="417" t="s">
        <v>104</v>
      </c>
      <c r="C44" s="100"/>
      <c r="D44" s="100"/>
      <c r="E44" s="19"/>
    </row>
    <row r="45" spans="1:9" x14ac:dyDescent="0.2">
      <c r="B45" s="106" t="s">
        <v>105</v>
      </c>
      <c r="D45" s="6" t="s">
        <v>76</v>
      </c>
      <c r="E45" s="107" t="s">
        <v>2415</v>
      </c>
    </row>
    <row r="46" spans="1:9" x14ac:dyDescent="0.2">
      <c r="B46" s="106" t="s">
        <v>106</v>
      </c>
      <c r="D46" s="6" t="s">
        <v>76</v>
      </c>
      <c r="E46" s="107"/>
    </row>
    <row r="47" spans="1:9" x14ac:dyDescent="0.2">
      <c r="B47" s="106" t="s">
        <v>107</v>
      </c>
      <c r="D47" s="6" t="s">
        <v>77</v>
      </c>
      <c r="E47" s="107"/>
    </row>
    <row r="48" spans="1:9" ht="17" thickBot="1" x14ac:dyDescent="0.25">
      <c r="B48" s="106" t="s">
        <v>110</v>
      </c>
      <c r="D48" s="6" t="s">
        <v>77</v>
      </c>
      <c r="E48" s="107" t="s">
        <v>109</v>
      </c>
      <c r="F48" s="1" t="s">
        <v>2416</v>
      </c>
    </row>
    <row r="49" spans="1:6" ht="17" thickBot="1" x14ac:dyDescent="0.25">
      <c r="B49" s="20" t="s">
        <v>111</v>
      </c>
      <c r="C49" s="103"/>
      <c r="D49" s="17" t="s">
        <v>79</v>
      </c>
      <c r="E49" s="21"/>
      <c r="F49" s="1" t="s">
        <v>2417</v>
      </c>
    </row>
    <row r="51" spans="1:6" x14ac:dyDescent="0.2">
      <c r="A51" s="2" t="s">
        <v>112</v>
      </c>
    </row>
    <row r="53" spans="1:6" x14ac:dyDescent="0.2">
      <c r="A53" s="25" t="s">
        <v>113</v>
      </c>
      <c r="B53" s="25"/>
      <c r="C53" s="25" t="s">
        <v>114</v>
      </c>
      <c r="E53" s="3" t="s">
        <v>118</v>
      </c>
    </row>
    <row r="54" spans="1:6" x14ac:dyDescent="0.2">
      <c r="A54" s="1" t="s">
        <v>105</v>
      </c>
      <c r="C54" s="27">
        <v>50000</v>
      </c>
      <c r="E54" s="1" t="s">
        <v>81</v>
      </c>
    </row>
    <row r="55" spans="1:6" x14ac:dyDescent="0.2">
      <c r="A55" s="1" t="s">
        <v>21</v>
      </c>
      <c r="C55" s="24">
        <v>4000</v>
      </c>
      <c r="E55" s="1" t="s">
        <v>121</v>
      </c>
    </row>
    <row r="56" spans="1:6" x14ac:dyDescent="0.2">
      <c r="A56" s="1" t="s">
        <v>107</v>
      </c>
      <c r="C56" s="27">
        <v>7000</v>
      </c>
      <c r="E56" s="1" t="s">
        <v>82</v>
      </c>
    </row>
    <row r="57" spans="1:6" x14ac:dyDescent="0.2">
      <c r="A57" s="1" t="s">
        <v>75</v>
      </c>
      <c r="C57" s="24">
        <v>200000</v>
      </c>
    </row>
    <row r="58" spans="1:6" x14ac:dyDescent="0.2">
      <c r="A58" s="1" t="s">
        <v>115</v>
      </c>
      <c r="C58" s="24">
        <v>3000</v>
      </c>
    </row>
    <row r="59" spans="1:6" x14ac:dyDescent="0.2">
      <c r="A59" s="1" t="s">
        <v>120</v>
      </c>
      <c r="C59" s="24">
        <v>2000</v>
      </c>
      <c r="E59" s="3" t="s">
        <v>119</v>
      </c>
    </row>
    <row r="60" spans="1:6" x14ac:dyDescent="0.2">
      <c r="A60" s="1" t="s">
        <v>116</v>
      </c>
      <c r="C60" s="24">
        <v>6000</v>
      </c>
      <c r="E60" s="1" t="s">
        <v>88</v>
      </c>
    </row>
    <row r="61" spans="1:6" x14ac:dyDescent="0.2">
      <c r="A61" s="1" t="s">
        <v>108</v>
      </c>
      <c r="C61" s="27">
        <v>1000</v>
      </c>
      <c r="E61" s="1" t="s">
        <v>125</v>
      </c>
    </row>
    <row r="62" spans="1:6" x14ac:dyDescent="0.2">
      <c r="A62" s="1" t="s">
        <v>117</v>
      </c>
      <c r="C62" s="27">
        <v>8000</v>
      </c>
      <c r="E62" s="1" t="s">
        <v>90</v>
      </c>
    </row>
    <row r="63" spans="1:6" x14ac:dyDescent="0.2">
      <c r="A63" s="1" t="s">
        <v>88</v>
      </c>
      <c r="C63" s="24">
        <v>10000</v>
      </c>
    </row>
    <row r="64" spans="1:6" x14ac:dyDescent="0.2">
      <c r="A64" s="1" t="s">
        <v>90</v>
      </c>
      <c r="C64" s="24">
        <v>12000</v>
      </c>
    </row>
    <row r="65" spans="1:11" ht="17" thickBot="1" x14ac:dyDescent="0.25"/>
    <row r="66" spans="1:11" x14ac:dyDescent="0.2">
      <c r="A66" s="180" t="s">
        <v>118</v>
      </c>
      <c r="B66" s="100"/>
      <c r="C66" s="19"/>
      <c r="E66" s="180" t="s">
        <v>119</v>
      </c>
      <c r="F66" s="100"/>
      <c r="G66" s="19"/>
    </row>
    <row r="67" spans="1:11" x14ac:dyDescent="0.2">
      <c r="A67" s="106" t="s">
        <v>75</v>
      </c>
      <c r="C67" s="268">
        <v>200000</v>
      </c>
      <c r="E67" s="106" t="s">
        <v>88</v>
      </c>
      <c r="G67" s="268">
        <f>C63</f>
        <v>10000</v>
      </c>
      <c r="H67" s="312"/>
      <c r="I67" s="12"/>
      <c r="J67" s="12"/>
    </row>
    <row r="68" spans="1:11" x14ac:dyDescent="0.2">
      <c r="A68" s="106" t="s">
        <v>122</v>
      </c>
      <c r="C68" s="264">
        <v>0</v>
      </c>
      <c r="E68" s="106" t="s">
        <v>89</v>
      </c>
      <c r="G68" s="423">
        <f>H77</f>
        <v>50000</v>
      </c>
      <c r="H68" s="312"/>
      <c r="I68" s="12"/>
      <c r="J68" s="12"/>
      <c r="K68" s="12" t="s">
        <v>126</v>
      </c>
    </row>
    <row r="69" spans="1:11" ht="17" thickBot="1" x14ac:dyDescent="0.25">
      <c r="A69" s="106" t="s">
        <v>123</v>
      </c>
      <c r="C69" s="264">
        <v>0</v>
      </c>
      <c r="E69" s="106" t="s">
        <v>2421</v>
      </c>
      <c r="G69" s="263">
        <f>-C64</f>
        <v>-12000</v>
      </c>
      <c r="H69" s="418"/>
      <c r="I69" s="12"/>
      <c r="J69" s="12"/>
    </row>
    <row r="70" spans="1:11" ht="17" thickBot="1" x14ac:dyDescent="0.25">
      <c r="A70" s="20" t="s">
        <v>124</v>
      </c>
      <c r="B70" s="103"/>
      <c r="C70" s="419">
        <f>C67</f>
        <v>200000</v>
      </c>
      <c r="E70" s="20" t="s">
        <v>127</v>
      </c>
      <c r="F70" s="103"/>
      <c r="G70" s="419">
        <f>SUM(G67:G69)</f>
        <v>48000</v>
      </c>
      <c r="H70" s="312"/>
      <c r="I70" s="12"/>
      <c r="J70" s="12"/>
    </row>
    <row r="71" spans="1:11" ht="17" thickBot="1" x14ac:dyDescent="0.25"/>
    <row r="72" spans="1:11" x14ac:dyDescent="0.2">
      <c r="A72" s="180" t="s">
        <v>128</v>
      </c>
      <c r="B72" s="100"/>
      <c r="C72" s="19"/>
      <c r="E72" s="180" t="s">
        <v>104</v>
      </c>
      <c r="F72" s="100"/>
      <c r="G72" s="100"/>
      <c r="H72" s="420"/>
    </row>
    <row r="73" spans="1:11" x14ac:dyDescent="0.2">
      <c r="A73" s="106" t="s">
        <v>129</v>
      </c>
      <c r="C73" s="268">
        <f>C70</f>
        <v>200000</v>
      </c>
      <c r="E73" s="106" t="s">
        <v>2418</v>
      </c>
      <c r="H73" s="421">
        <f>C54</f>
        <v>50000</v>
      </c>
    </row>
    <row r="74" spans="1:11" ht="17" thickBot="1" x14ac:dyDescent="0.25">
      <c r="A74" s="106" t="s">
        <v>130</v>
      </c>
      <c r="C74" s="263">
        <f>-G70</f>
        <v>-48000</v>
      </c>
      <c r="E74" s="106" t="s">
        <v>106</v>
      </c>
      <c r="H74" s="421">
        <f>C62</f>
        <v>8000</v>
      </c>
    </row>
    <row r="75" spans="1:11" ht="17" thickBot="1" x14ac:dyDescent="0.25">
      <c r="A75" s="20" t="s">
        <v>78</v>
      </c>
      <c r="B75" s="103"/>
      <c r="C75" s="419">
        <f>C73+C74</f>
        <v>152000</v>
      </c>
      <c r="E75" s="106" t="s">
        <v>2419</v>
      </c>
      <c r="H75" s="421">
        <f>-C56</f>
        <v>-7000</v>
      </c>
    </row>
    <row r="76" spans="1:11" x14ac:dyDescent="0.2">
      <c r="C76" s="312"/>
      <c r="E76" s="106" t="s">
        <v>2420</v>
      </c>
      <c r="H76" s="421">
        <f>-C61</f>
        <v>-1000</v>
      </c>
    </row>
    <row r="77" spans="1:11" ht="17" thickBot="1" x14ac:dyDescent="0.25">
      <c r="C77" s="312"/>
      <c r="E77" s="20" t="s">
        <v>89</v>
      </c>
      <c r="F77" s="103"/>
      <c r="G77" s="103"/>
      <c r="H77" s="422">
        <f>H73+H74+H75+H76</f>
        <v>50000</v>
      </c>
    </row>
    <row r="79" spans="1:11" ht="21" x14ac:dyDescent="0.25">
      <c r="A79" s="278" t="s">
        <v>1703</v>
      </c>
      <c r="B79" s="16"/>
      <c r="C79" s="16"/>
      <c r="D79" s="16"/>
      <c r="E79" s="16"/>
      <c r="F79" s="16"/>
      <c r="G79" s="16"/>
      <c r="H79" s="16"/>
      <c r="I79" s="16"/>
    </row>
    <row r="81" spans="1:9" x14ac:dyDescent="0.2">
      <c r="A81" s="1" t="s">
        <v>1690</v>
      </c>
    </row>
    <row r="82" spans="1:9" x14ac:dyDescent="0.2">
      <c r="A82" s="1" t="s">
        <v>1691</v>
      </c>
    </row>
    <row r="84" spans="1:9" x14ac:dyDescent="0.2">
      <c r="A84" s="1" t="s">
        <v>1692</v>
      </c>
    </row>
    <row r="85" spans="1:9" x14ac:dyDescent="0.2">
      <c r="A85" s="1" t="s">
        <v>1693</v>
      </c>
    </row>
    <row r="87" spans="1:9" x14ac:dyDescent="0.2">
      <c r="A87" s="1" t="s">
        <v>1694</v>
      </c>
    </row>
    <row r="88" spans="1:9" x14ac:dyDescent="0.2">
      <c r="A88" s="1" t="s">
        <v>1695</v>
      </c>
    </row>
    <row r="89" spans="1:9" ht="17" thickBot="1" x14ac:dyDescent="0.25"/>
    <row r="90" spans="1:9" ht="17" thickBot="1" x14ac:dyDescent="0.25">
      <c r="A90" s="568" t="s">
        <v>1701</v>
      </c>
      <c r="B90" s="569"/>
      <c r="C90" s="569"/>
      <c r="D90" s="569"/>
      <c r="E90" s="569"/>
      <c r="F90" s="569"/>
      <c r="G90" s="569"/>
      <c r="H90" s="569"/>
      <c r="I90" s="570"/>
    </row>
    <row r="92" spans="1:9" x14ac:dyDescent="0.2">
      <c r="A92" s="2" t="s">
        <v>1696</v>
      </c>
    </row>
    <row r="93" spans="1:9" x14ac:dyDescent="0.2">
      <c r="A93" s="2"/>
    </row>
    <row r="94" spans="1:9" x14ac:dyDescent="0.2">
      <c r="A94" s="1" t="s">
        <v>1697</v>
      </c>
    </row>
    <row r="96" spans="1:9" x14ac:dyDescent="0.2">
      <c r="A96" s="2" t="s">
        <v>1698</v>
      </c>
    </row>
    <row r="97" spans="1:12" x14ac:dyDescent="0.2">
      <c r="A97" s="1" t="s">
        <v>1699</v>
      </c>
    </row>
    <row r="98" spans="1:12" x14ac:dyDescent="0.2">
      <c r="A98" s="1" t="s">
        <v>1700</v>
      </c>
    </row>
    <row r="100" spans="1:12" x14ac:dyDescent="0.2">
      <c r="A100" s="2" t="s">
        <v>2987</v>
      </c>
    </row>
    <row r="101" spans="1:12" x14ac:dyDescent="0.2">
      <c r="A101" s="1" t="s">
        <v>132</v>
      </c>
    </row>
    <row r="102" spans="1:12" x14ac:dyDescent="0.2">
      <c r="A102" s="1" t="s">
        <v>133</v>
      </c>
    </row>
    <row r="103" spans="1:12" x14ac:dyDescent="0.2">
      <c r="A103" s="1" t="s">
        <v>134</v>
      </c>
    </row>
    <row r="104" spans="1:12" x14ac:dyDescent="0.2">
      <c r="A104" s="1" t="s">
        <v>135</v>
      </c>
    </row>
    <row r="105" spans="1:12" x14ac:dyDescent="0.2">
      <c r="A105" s="1" t="s">
        <v>136</v>
      </c>
    </row>
    <row r="106" spans="1:12" x14ac:dyDescent="0.2">
      <c r="A106" s="1" t="s">
        <v>137</v>
      </c>
    </row>
    <row r="107" spans="1:12" x14ac:dyDescent="0.2">
      <c r="A107" s="1" t="s">
        <v>138</v>
      </c>
    </row>
    <row r="108" spans="1:12" x14ac:dyDescent="0.2">
      <c r="A108" s="1" t="s">
        <v>2423</v>
      </c>
    </row>
    <row r="109" spans="1:12" x14ac:dyDescent="0.2">
      <c r="A109" s="1" t="s">
        <v>139</v>
      </c>
    </row>
    <row r="112" spans="1:12" x14ac:dyDescent="0.2">
      <c r="C112" s="25" t="s">
        <v>11</v>
      </c>
      <c r="D112" s="25"/>
      <c r="E112" s="25"/>
      <c r="F112" s="25" t="s">
        <v>12</v>
      </c>
      <c r="G112" s="25"/>
      <c r="H112" s="25"/>
      <c r="I112" s="25" t="s">
        <v>131</v>
      </c>
      <c r="J112" s="25"/>
      <c r="K112" s="25"/>
      <c r="L112" s="25"/>
    </row>
    <row r="113" spans="1:12" ht="51" x14ac:dyDescent="0.2">
      <c r="A113" s="13"/>
      <c r="B113" s="13"/>
      <c r="C113" s="13" t="s">
        <v>140</v>
      </c>
      <c r="D113" s="13" t="s">
        <v>19</v>
      </c>
      <c r="E113" s="80" t="s">
        <v>151</v>
      </c>
      <c r="F113" s="275" t="s">
        <v>143</v>
      </c>
      <c r="G113" s="13" t="s">
        <v>146</v>
      </c>
      <c r="H113" s="80" t="s">
        <v>155</v>
      </c>
      <c r="I113" s="13" t="s">
        <v>29</v>
      </c>
      <c r="J113" s="13" t="s">
        <v>145</v>
      </c>
      <c r="K113" s="13" t="s">
        <v>2422</v>
      </c>
      <c r="L113" s="80" t="s">
        <v>154</v>
      </c>
    </row>
    <row r="114" spans="1:12" x14ac:dyDescent="0.2">
      <c r="A114" s="294" t="s">
        <v>141</v>
      </c>
      <c r="B114" s="13"/>
      <c r="C114" s="13">
        <v>60000</v>
      </c>
      <c r="D114" s="12"/>
      <c r="E114" s="12"/>
      <c r="F114" s="13"/>
      <c r="G114" s="12"/>
      <c r="H114" s="12"/>
      <c r="I114" s="13">
        <f>C114</f>
        <v>60000</v>
      </c>
      <c r="J114" s="13"/>
      <c r="K114" s="12"/>
      <c r="L114" s="12"/>
    </row>
    <row r="115" spans="1:12" x14ac:dyDescent="0.2">
      <c r="A115" s="294" t="s">
        <v>142</v>
      </c>
      <c r="B115" s="13"/>
      <c r="C115" s="13">
        <v>50000</v>
      </c>
      <c r="D115" s="12"/>
      <c r="E115" s="12"/>
      <c r="F115" s="13">
        <f>C115</f>
        <v>50000</v>
      </c>
      <c r="G115" s="12"/>
      <c r="H115" s="12"/>
      <c r="I115" s="12"/>
      <c r="J115" s="12"/>
      <c r="K115" s="12"/>
      <c r="L115" s="12"/>
    </row>
    <row r="116" spans="1:12" x14ac:dyDescent="0.2">
      <c r="A116" s="13" t="s">
        <v>144</v>
      </c>
      <c r="B116" s="13"/>
      <c r="C116" s="418"/>
      <c r="D116" s="418"/>
      <c r="E116" s="418"/>
      <c r="F116" s="418"/>
      <c r="G116" s="252">
        <f>-J116</f>
        <v>3000</v>
      </c>
      <c r="H116" s="418"/>
      <c r="I116" s="418"/>
      <c r="J116" s="252">
        <v>-3000</v>
      </c>
      <c r="K116" s="418"/>
      <c r="L116" s="12"/>
    </row>
    <row r="117" spans="1:12" x14ac:dyDescent="0.2">
      <c r="A117" s="13" t="s">
        <v>147</v>
      </c>
      <c r="B117" s="13"/>
      <c r="C117" s="252">
        <v>30000</v>
      </c>
      <c r="D117" s="13">
        <v>10000</v>
      </c>
      <c r="E117" s="12"/>
      <c r="F117" s="12"/>
      <c r="G117" s="12"/>
      <c r="H117" s="12"/>
      <c r="I117" s="12"/>
      <c r="J117" s="12"/>
      <c r="K117" s="252">
        <v>40000</v>
      </c>
      <c r="L117" s="12"/>
    </row>
    <row r="118" spans="1:12" x14ac:dyDescent="0.2">
      <c r="A118" s="13" t="s">
        <v>148</v>
      </c>
      <c r="B118" s="13"/>
      <c r="C118" s="252">
        <v>-5000</v>
      </c>
      <c r="D118" s="12"/>
      <c r="E118" s="12"/>
      <c r="F118" s="12"/>
      <c r="G118" s="12"/>
      <c r="H118" s="12"/>
      <c r="I118" s="12"/>
      <c r="J118" s="252">
        <v>-5000</v>
      </c>
      <c r="K118" s="12"/>
      <c r="L118" s="12"/>
    </row>
    <row r="119" spans="1:12" x14ac:dyDescent="0.2">
      <c r="A119" s="13" t="s">
        <v>149</v>
      </c>
      <c r="B119" s="13"/>
      <c r="C119" s="252">
        <v>-20000</v>
      </c>
      <c r="D119" s="12"/>
      <c r="E119" s="12"/>
      <c r="F119" s="12"/>
      <c r="G119" s="12"/>
      <c r="H119" s="12"/>
      <c r="I119" s="12"/>
      <c r="J119" s="252">
        <f>C119</f>
        <v>-20000</v>
      </c>
      <c r="K119" s="12"/>
      <c r="L119" s="12"/>
    </row>
    <row r="120" spans="1:12" x14ac:dyDescent="0.2">
      <c r="A120" s="13" t="s">
        <v>150</v>
      </c>
      <c r="B120" s="13"/>
      <c r="C120" s="252">
        <v>-15000</v>
      </c>
      <c r="D120" s="12"/>
      <c r="E120" s="252">
        <f>-C120</f>
        <v>15000</v>
      </c>
      <c r="F120" s="12"/>
      <c r="G120" s="12"/>
      <c r="H120" s="12"/>
      <c r="I120" s="12"/>
      <c r="J120" s="12"/>
      <c r="K120" s="12"/>
      <c r="L120" s="12"/>
    </row>
    <row r="121" spans="1:12" x14ac:dyDescent="0.2">
      <c r="A121" s="13" t="s">
        <v>152</v>
      </c>
      <c r="B121" s="13"/>
      <c r="C121" s="252">
        <v>16000</v>
      </c>
      <c r="D121" s="12"/>
      <c r="E121" s="252">
        <v>-15000</v>
      </c>
      <c r="F121" s="12"/>
      <c r="G121" s="12"/>
      <c r="H121" s="12"/>
      <c r="I121" s="12"/>
      <c r="J121" s="12"/>
      <c r="K121" s="252">
        <v>1000</v>
      </c>
      <c r="L121" s="12"/>
    </row>
    <row r="122" spans="1:12" x14ac:dyDescent="0.2">
      <c r="A122" s="13" t="s">
        <v>153</v>
      </c>
      <c r="B122" s="13"/>
      <c r="C122" s="12"/>
      <c r="D122" s="12"/>
      <c r="E122" s="12"/>
      <c r="F122" s="12"/>
      <c r="G122" s="12"/>
      <c r="H122" s="252">
        <f>-L122</f>
        <v>5000</v>
      </c>
      <c r="I122" s="12"/>
      <c r="J122" s="12"/>
      <c r="K122" s="12"/>
      <c r="L122" s="252">
        <f>-5000</f>
        <v>-5000</v>
      </c>
    </row>
    <row r="124" spans="1:12" x14ac:dyDescent="0.2">
      <c r="A124" s="2" t="s">
        <v>156</v>
      </c>
    </row>
    <row r="126" spans="1:12" x14ac:dyDescent="0.2">
      <c r="A126" s="1" t="s">
        <v>157</v>
      </c>
    </row>
    <row r="127" spans="1:12" x14ac:dyDescent="0.2">
      <c r="A127" s="1" t="s">
        <v>158</v>
      </c>
    </row>
    <row r="129" spans="1:8" ht="17" thickBot="1" x14ac:dyDescent="0.25">
      <c r="A129" s="1" t="s">
        <v>159</v>
      </c>
    </row>
    <row r="130" spans="1:8" x14ac:dyDescent="0.2">
      <c r="D130" s="18"/>
      <c r="E130" s="424" t="s">
        <v>11</v>
      </c>
      <c r="F130" s="424" t="s">
        <v>12</v>
      </c>
      <c r="G130" s="425" t="s">
        <v>131</v>
      </c>
    </row>
    <row r="131" spans="1:8" x14ac:dyDescent="0.2">
      <c r="D131" s="106" t="s">
        <v>160</v>
      </c>
      <c r="E131" s="2" t="s">
        <v>162</v>
      </c>
      <c r="F131" s="14" t="s">
        <v>163</v>
      </c>
      <c r="G131" s="152" t="s">
        <v>163</v>
      </c>
    </row>
    <row r="132" spans="1:8" ht="17" thickBot="1" x14ac:dyDescent="0.25">
      <c r="D132" s="20" t="s">
        <v>161</v>
      </c>
      <c r="E132" s="154" t="s">
        <v>163</v>
      </c>
      <c r="F132" s="154" t="s">
        <v>162</v>
      </c>
      <c r="G132" s="155" t="s">
        <v>162</v>
      </c>
    </row>
    <row r="135" spans="1:8" x14ac:dyDescent="0.2">
      <c r="A135" s="1" t="s">
        <v>167</v>
      </c>
      <c r="F135" s="32" t="s">
        <v>11</v>
      </c>
      <c r="G135" s="32" t="s">
        <v>12</v>
      </c>
      <c r="H135" s="32" t="s">
        <v>131</v>
      </c>
    </row>
    <row r="136" spans="1:8" ht="34" x14ac:dyDescent="0.2">
      <c r="A136" s="1" t="s">
        <v>164</v>
      </c>
      <c r="E136" s="1" t="s">
        <v>160</v>
      </c>
      <c r="F136" s="31" t="s">
        <v>165</v>
      </c>
      <c r="G136" s="1" t="s">
        <v>163</v>
      </c>
      <c r="H136" s="31" t="s">
        <v>166</v>
      </c>
    </row>
    <row r="137" spans="1:8" x14ac:dyDescent="0.2">
      <c r="E137" s="1" t="s">
        <v>161</v>
      </c>
      <c r="F137" s="1" t="s">
        <v>163</v>
      </c>
      <c r="G137" s="1" t="s">
        <v>162</v>
      </c>
      <c r="H137" s="1" t="s">
        <v>162</v>
      </c>
    </row>
    <row r="139" spans="1:8" x14ac:dyDescent="0.2">
      <c r="A139" s="1" t="s">
        <v>169</v>
      </c>
      <c r="F139" s="25" t="s">
        <v>11</v>
      </c>
      <c r="G139" s="25" t="s">
        <v>12</v>
      </c>
      <c r="H139" s="25" t="s">
        <v>131</v>
      </c>
    </row>
    <row r="140" spans="1:8" ht="34" x14ac:dyDescent="0.2">
      <c r="A140" s="1" t="s">
        <v>168</v>
      </c>
      <c r="E140" s="1" t="s">
        <v>160</v>
      </c>
      <c r="F140" s="31" t="s">
        <v>165</v>
      </c>
      <c r="G140" s="31" t="s">
        <v>170</v>
      </c>
      <c r="H140" s="1" t="s">
        <v>163</v>
      </c>
    </row>
    <row r="141" spans="1:8" x14ac:dyDescent="0.2">
      <c r="E141" s="1" t="s">
        <v>161</v>
      </c>
      <c r="F141" s="1" t="s">
        <v>163</v>
      </c>
      <c r="G141" s="1" t="s">
        <v>162</v>
      </c>
      <c r="H141" s="1" t="s">
        <v>162</v>
      </c>
    </row>
    <row r="142" spans="1:8" s="13" customFormat="1" x14ac:dyDescent="0.2"/>
    <row r="143" spans="1:8" s="13" customFormat="1" x14ac:dyDescent="0.2">
      <c r="A143" s="13" t="s">
        <v>1702</v>
      </c>
      <c r="F143" s="70" t="s">
        <v>11</v>
      </c>
      <c r="G143" s="70" t="s">
        <v>12</v>
      </c>
      <c r="H143" s="70" t="s">
        <v>131</v>
      </c>
    </row>
    <row r="144" spans="1:8" s="13" customFormat="1" ht="34" x14ac:dyDescent="0.2">
      <c r="A144" s="13" t="s">
        <v>173</v>
      </c>
      <c r="E144" s="13" t="s">
        <v>160</v>
      </c>
      <c r="F144" s="13" t="s">
        <v>162</v>
      </c>
      <c r="G144" s="276" t="s">
        <v>171</v>
      </c>
      <c r="H144" s="13" t="s">
        <v>163</v>
      </c>
    </row>
    <row r="145" spans="1:8" s="13" customFormat="1" ht="51" x14ac:dyDescent="0.2">
      <c r="E145" s="13" t="s">
        <v>161</v>
      </c>
      <c r="F145" s="13" t="s">
        <v>163</v>
      </c>
      <c r="G145" s="13" t="s">
        <v>162</v>
      </c>
      <c r="H145" s="276" t="s">
        <v>172</v>
      </c>
    </row>
    <row r="147" spans="1:8" x14ac:dyDescent="0.2">
      <c r="A147" s="1" t="s">
        <v>174</v>
      </c>
      <c r="C147" s="1" t="s">
        <v>2424</v>
      </c>
    </row>
    <row r="148" spans="1:8" x14ac:dyDescent="0.2">
      <c r="A148" s="1" t="s">
        <v>175</v>
      </c>
      <c r="C148" s="1" t="s">
        <v>2425</v>
      </c>
    </row>
    <row r="149" spans="1:8" x14ac:dyDescent="0.2">
      <c r="A149" s="1" t="s">
        <v>176</v>
      </c>
      <c r="C149" s="1" t="s">
        <v>2426</v>
      </c>
    </row>
    <row r="151" spans="1:8" x14ac:dyDescent="0.2">
      <c r="A151" s="1" t="s">
        <v>177</v>
      </c>
      <c r="C151" s="1" t="s">
        <v>2427</v>
      </c>
    </row>
    <row r="152" spans="1:8" x14ac:dyDescent="0.2">
      <c r="A152" s="1" t="s">
        <v>180</v>
      </c>
      <c r="C152" s="1" t="s">
        <v>2428</v>
      </c>
    </row>
    <row r="154" spans="1:8" x14ac:dyDescent="0.2">
      <c r="A154" s="1" t="s">
        <v>178</v>
      </c>
      <c r="D154" s="1" t="s">
        <v>2429</v>
      </c>
    </row>
    <row r="155" spans="1:8" x14ac:dyDescent="0.2">
      <c r="A155" s="1" t="s">
        <v>179</v>
      </c>
    </row>
    <row r="157" spans="1:8" x14ac:dyDescent="0.2">
      <c r="A157" s="1" t="s">
        <v>181</v>
      </c>
      <c r="D157" s="1" t="s">
        <v>2430</v>
      </c>
    </row>
    <row r="158" spans="1:8" x14ac:dyDescent="0.2">
      <c r="A158" s="1" t="s">
        <v>182</v>
      </c>
      <c r="D158" s="1" t="s">
        <v>2431</v>
      </c>
    </row>
    <row r="160" spans="1:8" x14ac:dyDescent="0.2">
      <c r="A160" s="1" t="s">
        <v>183</v>
      </c>
      <c r="D160" s="1" t="s">
        <v>2432</v>
      </c>
    </row>
    <row r="161" spans="1:10" x14ac:dyDescent="0.2">
      <c r="A161" s="1" t="s">
        <v>184</v>
      </c>
      <c r="D161" s="1" t="s">
        <v>2433</v>
      </c>
    </row>
    <row r="162" spans="1:10" x14ac:dyDescent="0.2">
      <c r="A162" s="1" t="s">
        <v>185</v>
      </c>
      <c r="D162" s="1" t="s">
        <v>2434</v>
      </c>
    </row>
    <row r="164" spans="1:10" x14ac:dyDescent="0.2">
      <c r="A164" s="1" t="s">
        <v>186</v>
      </c>
      <c r="D164" s="1" t="s">
        <v>2436</v>
      </c>
    </row>
    <row r="165" spans="1:10" x14ac:dyDescent="0.2">
      <c r="A165" s="1" t="s">
        <v>187</v>
      </c>
      <c r="D165" s="1" t="s">
        <v>2435</v>
      </c>
    </row>
    <row r="167" spans="1:10" ht="17" thickBot="1" x14ac:dyDescent="0.25"/>
    <row r="168" spans="1:10" x14ac:dyDescent="0.2">
      <c r="A168" s="18" t="s">
        <v>189</v>
      </c>
      <c r="B168" s="100"/>
      <c r="C168" s="100"/>
      <c r="D168" s="100"/>
      <c r="E168" s="100"/>
      <c r="F168" s="100"/>
      <c r="G168" s="100"/>
      <c r="H168" s="19"/>
    </row>
    <row r="169" spans="1:10" ht="17" thickBot="1" x14ac:dyDescent="0.25">
      <c r="A169" s="20"/>
      <c r="B169" s="103"/>
      <c r="C169" s="103"/>
      <c r="D169" s="103"/>
      <c r="E169" s="103"/>
      <c r="F169" s="506" t="s">
        <v>188</v>
      </c>
      <c r="G169" s="103"/>
      <c r="H169" s="21"/>
    </row>
    <row r="172" spans="1:10" ht="18" x14ac:dyDescent="0.2">
      <c r="A172" s="507" t="s">
        <v>2988</v>
      </c>
      <c r="B172" s="25"/>
      <c r="C172" s="25"/>
      <c r="D172" s="25"/>
      <c r="E172" s="25"/>
      <c r="F172" s="25"/>
      <c r="G172" s="25"/>
      <c r="H172" s="25"/>
      <c r="I172" s="25"/>
      <c r="J172" s="25"/>
    </row>
    <row r="174" spans="1:10" x14ac:dyDescent="0.2">
      <c r="A174" s="1" t="s">
        <v>2989</v>
      </c>
    </row>
    <row r="175" spans="1:10" x14ac:dyDescent="0.2">
      <c r="A175" s="1" t="s">
        <v>2990</v>
      </c>
    </row>
    <row r="176" spans="1:10" x14ac:dyDescent="0.2">
      <c r="A176" s="1" t="s">
        <v>2991</v>
      </c>
    </row>
    <row r="177" spans="1:9" ht="17" thickBot="1" x14ac:dyDescent="0.25"/>
    <row r="178" spans="1:9" x14ac:dyDescent="0.2">
      <c r="D178" s="18"/>
      <c r="E178" s="424" t="s">
        <v>11</v>
      </c>
      <c r="F178" s="424" t="s">
        <v>12</v>
      </c>
      <c r="G178" s="425" t="s">
        <v>131</v>
      </c>
    </row>
    <row r="179" spans="1:9" x14ac:dyDescent="0.2">
      <c r="D179" s="106" t="s">
        <v>160</v>
      </c>
      <c r="E179" s="2" t="s">
        <v>162</v>
      </c>
      <c r="F179" s="14" t="s">
        <v>163</v>
      </c>
      <c r="G179" s="152" t="s">
        <v>163</v>
      </c>
    </row>
    <row r="180" spans="1:9" ht="17" thickBot="1" x14ac:dyDescent="0.25">
      <c r="D180" s="20" t="s">
        <v>161</v>
      </c>
      <c r="E180" s="154" t="s">
        <v>163</v>
      </c>
      <c r="F180" s="154" t="s">
        <v>162</v>
      </c>
      <c r="G180" s="155" t="s">
        <v>162</v>
      </c>
    </row>
    <row r="182" spans="1:9" x14ac:dyDescent="0.2">
      <c r="A182" s="1" t="s">
        <v>2992</v>
      </c>
    </row>
    <row r="184" spans="1:9" x14ac:dyDescent="0.2">
      <c r="A184" s="508" t="s">
        <v>2993</v>
      </c>
      <c r="B184" s="509"/>
      <c r="C184" s="509"/>
      <c r="D184" s="509"/>
      <c r="E184" s="509"/>
      <c r="F184" s="509"/>
      <c r="G184" s="509"/>
      <c r="H184" s="509"/>
      <c r="I184" s="509"/>
    </row>
    <row r="185" spans="1:9" x14ac:dyDescent="0.2">
      <c r="A185" s="1" t="s">
        <v>2994</v>
      </c>
    </row>
    <row r="186" spans="1:9" x14ac:dyDescent="0.2">
      <c r="A186" s="1" t="s">
        <v>2995</v>
      </c>
    </row>
    <row r="188" spans="1:9" x14ac:dyDescent="0.2">
      <c r="A188" s="144" t="s">
        <v>2996</v>
      </c>
    </row>
    <row r="190" spans="1:9" x14ac:dyDescent="0.2">
      <c r="A190" s="1" t="s">
        <v>2997</v>
      </c>
      <c r="F190" s="1" t="s">
        <v>2999</v>
      </c>
      <c r="I190" s="24">
        <v>180000</v>
      </c>
    </row>
    <row r="191" spans="1:9" x14ac:dyDescent="0.2">
      <c r="A191" s="1" t="s">
        <v>2998</v>
      </c>
      <c r="F191" s="1" t="s">
        <v>3000</v>
      </c>
      <c r="I191" s="24">
        <f>I190</f>
        <v>180000</v>
      </c>
    </row>
    <row r="193" spans="1:9" x14ac:dyDescent="0.2">
      <c r="A193" s="144" t="s">
        <v>3001</v>
      </c>
    </row>
    <row r="195" spans="1:9" x14ac:dyDescent="0.2">
      <c r="A195" s="1" t="s">
        <v>3002</v>
      </c>
      <c r="F195" s="1" t="s">
        <v>2999</v>
      </c>
      <c r="I195" s="24">
        <v>350000</v>
      </c>
    </row>
    <row r="196" spans="1:9" x14ac:dyDescent="0.2">
      <c r="A196" s="1" t="s">
        <v>3003</v>
      </c>
      <c r="F196" s="1" t="s">
        <v>3004</v>
      </c>
      <c r="I196" s="24">
        <f>I195</f>
        <v>350000</v>
      </c>
    </row>
    <row r="198" spans="1:9" x14ac:dyDescent="0.2">
      <c r="A198" s="144" t="s">
        <v>3005</v>
      </c>
    </row>
    <row r="200" spans="1:9" x14ac:dyDescent="0.2">
      <c r="A200" s="1" t="s">
        <v>3006</v>
      </c>
      <c r="F200" s="1" t="s">
        <v>3007</v>
      </c>
      <c r="I200" s="24">
        <v>30000</v>
      </c>
    </row>
    <row r="201" spans="1:9" x14ac:dyDescent="0.2">
      <c r="A201" s="1" t="s">
        <v>3008</v>
      </c>
      <c r="F201" s="1" t="s">
        <v>3009</v>
      </c>
      <c r="I201" s="24">
        <v>30000</v>
      </c>
    </row>
    <row r="203" spans="1:9" x14ac:dyDescent="0.2">
      <c r="A203" s="144" t="s">
        <v>3010</v>
      </c>
    </row>
    <row r="204" spans="1:9" x14ac:dyDescent="0.2">
      <c r="A204" s="1" t="s">
        <v>3011</v>
      </c>
    </row>
    <row r="206" spans="1:9" x14ac:dyDescent="0.2">
      <c r="A206" s="1" t="s">
        <v>3006</v>
      </c>
      <c r="F206" s="1" t="s">
        <v>3007</v>
      </c>
      <c r="I206" s="24">
        <v>28000</v>
      </c>
    </row>
    <row r="207" spans="1:9" x14ac:dyDescent="0.2">
      <c r="A207" s="1" t="s">
        <v>3012</v>
      </c>
      <c r="F207" s="1" t="s">
        <v>3014</v>
      </c>
      <c r="I207" s="24">
        <v>40000</v>
      </c>
    </row>
    <row r="208" spans="1:9" x14ac:dyDescent="0.2">
      <c r="A208" s="1" t="s">
        <v>3013</v>
      </c>
      <c r="F208" s="1" t="s">
        <v>3015</v>
      </c>
      <c r="I208" s="24">
        <v>12000</v>
      </c>
    </row>
    <row r="210" spans="1:9" x14ac:dyDescent="0.2">
      <c r="A210" s="144" t="s">
        <v>3016</v>
      </c>
    </row>
    <row r="211" spans="1:9" x14ac:dyDescent="0.2">
      <c r="A211" s="1" t="s">
        <v>3017</v>
      </c>
    </row>
    <row r="213" spans="1:9" x14ac:dyDescent="0.2">
      <c r="A213" s="1" t="s">
        <v>3006</v>
      </c>
      <c r="F213" s="1" t="s">
        <v>3007</v>
      </c>
      <c r="I213" s="24">
        <v>40000</v>
      </c>
    </row>
    <row r="214" spans="1:9" x14ac:dyDescent="0.2">
      <c r="A214" s="1" t="s">
        <v>3018</v>
      </c>
      <c r="F214" s="1" t="s">
        <v>3019</v>
      </c>
      <c r="I214" s="24">
        <v>150000</v>
      </c>
    </row>
    <row r="215" spans="1:9" x14ac:dyDescent="0.2">
      <c r="A215" s="1" t="s">
        <v>3020</v>
      </c>
      <c r="F215" s="1" t="s">
        <v>3015</v>
      </c>
      <c r="I215" s="24">
        <f>I214-I213</f>
        <v>110000</v>
      </c>
    </row>
    <row r="217" spans="1:9" x14ac:dyDescent="0.2">
      <c r="A217" s="144" t="s">
        <v>3021</v>
      </c>
    </row>
    <row r="219" spans="1:9" x14ac:dyDescent="0.2">
      <c r="A219" s="1" t="s">
        <v>3006</v>
      </c>
      <c r="F219" s="1" t="s">
        <v>3007</v>
      </c>
      <c r="I219" s="24">
        <v>500</v>
      </c>
    </row>
    <row r="220" spans="1:9" x14ac:dyDescent="0.2">
      <c r="A220" s="1" t="s">
        <v>3022</v>
      </c>
      <c r="F220" s="1" t="s">
        <v>3023</v>
      </c>
      <c r="I220" s="24">
        <f>I219</f>
        <v>500</v>
      </c>
    </row>
    <row r="222" spans="1:9" x14ac:dyDescent="0.2">
      <c r="A222" s="144" t="s">
        <v>3024</v>
      </c>
    </row>
    <row r="223" spans="1:9" x14ac:dyDescent="0.2">
      <c r="A223" s="1" t="s">
        <v>3025</v>
      </c>
    </row>
    <row r="224" spans="1:9" ht="17" thickBot="1" x14ac:dyDescent="0.25"/>
    <row r="225" spans="1:13" x14ac:dyDescent="0.2">
      <c r="A225" s="1" t="s">
        <v>3026</v>
      </c>
      <c r="F225" s="1" t="s">
        <v>2999</v>
      </c>
      <c r="I225" s="24">
        <v>25000</v>
      </c>
      <c r="J225" s="18"/>
      <c r="K225" s="424" t="s">
        <v>11</v>
      </c>
      <c r="L225" s="424" t="s">
        <v>12</v>
      </c>
      <c r="M225" s="425" t="s">
        <v>131</v>
      </c>
    </row>
    <row r="226" spans="1:13" x14ac:dyDescent="0.2">
      <c r="A226" s="1" t="s">
        <v>3027</v>
      </c>
      <c r="F226" s="1" t="s">
        <v>3028</v>
      </c>
      <c r="I226" s="24">
        <v>70000</v>
      </c>
      <c r="J226" s="106" t="s">
        <v>160</v>
      </c>
      <c r="K226" s="2" t="s">
        <v>162</v>
      </c>
      <c r="L226" s="14" t="s">
        <v>163</v>
      </c>
      <c r="M226" s="152" t="s">
        <v>163</v>
      </c>
    </row>
    <row r="227" spans="1:13" ht="17" thickBot="1" x14ac:dyDescent="0.25">
      <c r="A227" s="1" t="s">
        <v>3029</v>
      </c>
      <c r="F227" s="1" t="s">
        <v>3030</v>
      </c>
      <c r="I227" s="24">
        <v>8000</v>
      </c>
      <c r="J227" s="20" t="s">
        <v>161</v>
      </c>
      <c r="K227" s="154" t="s">
        <v>163</v>
      </c>
      <c r="L227" s="154" t="s">
        <v>162</v>
      </c>
      <c r="M227" s="155" t="s">
        <v>162</v>
      </c>
    </row>
    <row r="228" spans="1:13" x14ac:dyDescent="0.2">
      <c r="A228" s="1" t="s">
        <v>3031</v>
      </c>
      <c r="F228" s="1" t="s">
        <v>248</v>
      </c>
      <c r="I228" s="24">
        <v>37000</v>
      </c>
    </row>
  </sheetData>
  <mergeCells count="1">
    <mergeCell ref="A90:I90"/>
  </mergeCells>
  <hyperlinks>
    <hyperlink ref="F169" r:id="rId1" xr:uid="{2277439C-EEDF-014C-9FFB-5CC198CAD76D}"/>
  </hyperlinks>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25</vt:i4>
      </vt:variant>
      <vt:variant>
        <vt:lpstr>Named Ranges</vt:lpstr>
      </vt:variant>
      <vt:variant>
        <vt:i4>1</vt:i4>
      </vt:variant>
    </vt:vector>
  </HeadingPairs>
  <TitlesOfParts>
    <vt:vector size="26" baseType="lpstr">
      <vt:lpstr>אינדקס</vt:lpstr>
      <vt:lpstr>1 - הרצאה</vt:lpstr>
      <vt:lpstr>1 - מושגים</vt:lpstr>
      <vt:lpstr>1 - תרגול</vt:lpstr>
      <vt:lpstr>2 - הרצאה</vt:lpstr>
      <vt:lpstr>2 - ביאורים</vt:lpstr>
      <vt:lpstr>2 - יונית</vt:lpstr>
      <vt:lpstr>2 - תרגול נוסף</vt:lpstr>
      <vt:lpstr>3 - הרצאה</vt:lpstr>
      <vt:lpstr>3 - תרגול נוסף</vt:lpstr>
      <vt:lpstr>4 - הרצאה</vt:lpstr>
      <vt:lpstr>5 - הרצאה</vt:lpstr>
      <vt:lpstr>5 - תרגול 1</vt:lpstr>
      <vt:lpstr>5 - תרגול 2</vt:lpstr>
      <vt:lpstr>5 - תרגול 3</vt:lpstr>
      <vt:lpstr>6 - הרצאה</vt:lpstr>
      <vt:lpstr>7 - הרצאה חדשה</vt:lpstr>
      <vt:lpstr>8 - הרצאה חדשה</vt:lpstr>
      <vt:lpstr>9 - הנסיכה התימנית</vt:lpstr>
      <vt:lpstr>10 + 11 חזרה לבחינה</vt:lpstr>
      <vt:lpstr>12 - הון עצמי</vt:lpstr>
      <vt:lpstr>מבנה הבחינה</vt:lpstr>
      <vt:lpstr>מסה נוספת לחזרה</vt:lpstr>
      <vt:lpstr>תרגילים נוספים קצרים לחזרה</vt:lpstr>
      <vt:lpstr>שרה - מסה</vt:lpstr>
      <vt:lpstr>אינדקס!Print_Area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Shay Tsaban</cp:lastModifiedBy>
  <dcterms:created xsi:type="dcterms:W3CDTF">2021-10-18T06:31:22Z</dcterms:created>
  <dcterms:modified xsi:type="dcterms:W3CDTF">2025-01-20T10:43:44Z</dcterms:modified>
</cp:coreProperties>
</file>